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3250" windowHeight="12090"/>
  </bookViews>
  <sheets>
    <sheet name="план. ст-ть" sheetId="1" r:id="rId1"/>
  </sheets>
  <externalReferences>
    <externalReference r:id="rId2"/>
    <externalReference r:id="rId3"/>
  </externalReferences>
  <definedNames>
    <definedName name="_xlnm._FilterDatabase" localSheetId="0" hidden="1">'план. ст-ть'!$A$8:$AJ$129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123" i="1" l="1"/>
  <c r="AH123" i="1"/>
  <c r="AG123" i="1"/>
  <c r="AF123" i="1"/>
  <c r="AE123" i="1"/>
  <c r="S123" i="1"/>
  <c r="M123" i="1"/>
  <c r="L123" i="1"/>
  <c r="G123" i="1"/>
  <c r="AD122" i="1"/>
  <c r="AB122" i="1"/>
  <c r="O122" i="1"/>
  <c r="K122" i="1"/>
  <c r="J122" i="1" s="1"/>
  <c r="F122" i="1"/>
  <c r="AD121" i="1"/>
  <c r="Q121" i="1"/>
  <c r="O121" i="1" s="1"/>
  <c r="J121" i="1"/>
  <c r="F121" i="1"/>
  <c r="AD120" i="1"/>
  <c r="AB120" i="1"/>
  <c r="O120" i="1"/>
  <c r="J120" i="1"/>
  <c r="F120" i="1"/>
  <c r="O119" i="1"/>
  <c r="K119" i="1"/>
  <c r="J119" i="1" s="1"/>
  <c r="F119" i="1"/>
  <c r="AB118" i="1"/>
  <c r="O118" i="1"/>
  <c r="K118" i="1"/>
  <c r="J118" i="1" s="1"/>
  <c r="F118" i="1"/>
  <c r="AB117" i="1"/>
  <c r="P117" i="1"/>
  <c r="O117" i="1" s="1"/>
  <c r="N117" i="1"/>
  <c r="K117" i="1"/>
  <c r="J117" i="1" s="1"/>
  <c r="F117" i="1"/>
  <c r="AB116" i="1"/>
  <c r="Q116" i="1"/>
  <c r="P116" i="1"/>
  <c r="N116" i="1"/>
  <c r="K116" i="1"/>
  <c r="J116" i="1" s="1"/>
  <c r="F116" i="1"/>
  <c r="AB115" i="1"/>
  <c r="X115" i="1"/>
  <c r="V115" i="1" s="1"/>
  <c r="U115" i="1" s="1"/>
  <c r="O115" i="1"/>
  <c r="J115" i="1"/>
  <c r="F115" i="1"/>
  <c r="AB114" i="1"/>
  <c r="X114" i="1"/>
  <c r="V114" i="1" s="1"/>
  <c r="U114" i="1" s="1"/>
  <c r="O114" i="1"/>
  <c r="J114" i="1"/>
  <c r="F114" i="1"/>
  <c r="X113" i="1"/>
  <c r="AB113" i="1"/>
  <c r="O113" i="1"/>
  <c r="K113" i="1"/>
  <c r="J113" i="1" s="1"/>
  <c r="F113" i="1"/>
  <c r="X112" i="1"/>
  <c r="AB112" i="1"/>
  <c r="P112" i="1"/>
  <c r="O112" i="1" s="1"/>
  <c r="K112" i="1"/>
  <c r="J112" i="1" s="1"/>
  <c r="F112" i="1"/>
  <c r="P111" i="1"/>
  <c r="O111" i="1" s="1"/>
  <c r="K111" i="1"/>
  <c r="J111" i="1" s="1"/>
  <c r="F111" i="1"/>
  <c r="AB110" i="1"/>
  <c r="X110" i="1"/>
  <c r="V110" i="1" s="1"/>
  <c r="U110" i="1" s="1"/>
  <c r="O110" i="1"/>
  <c r="J110" i="1"/>
  <c r="F110" i="1"/>
  <c r="AB109" i="1"/>
  <c r="O109" i="1"/>
  <c r="J109" i="1"/>
  <c r="F109" i="1"/>
  <c r="AB108" i="1"/>
  <c r="O108" i="1"/>
  <c r="N108" i="1"/>
  <c r="K108" i="1"/>
  <c r="J108" i="1" s="1"/>
  <c r="F108" i="1"/>
  <c r="X107" i="1"/>
  <c r="O107" i="1"/>
  <c r="K107" i="1"/>
  <c r="J107" i="1" s="1"/>
  <c r="F107" i="1"/>
  <c r="Q106" i="1"/>
  <c r="O106" i="1" s="1"/>
  <c r="K106" i="1"/>
  <c r="J106" i="1" s="1"/>
  <c r="F106" i="1"/>
  <c r="Q105" i="1"/>
  <c r="O105" i="1" s="1"/>
  <c r="K105" i="1"/>
  <c r="J105" i="1" s="1"/>
  <c r="F105" i="1"/>
  <c r="X104" i="1"/>
  <c r="O104" i="1"/>
  <c r="K104" i="1"/>
  <c r="J104" i="1" s="1"/>
  <c r="F104" i="1"/>
  <c r="O103" i="1"/>
  <c r="J103" i="1"/>
  <c r="F103" i="1"/>
  <c r="O102" i="1"/>
  <c r="K102" i="1"/>
  <c r="J102" i="1" s="1"/>
  <c r="F102" i="1"/>
  <c r="AB101" i="1"/>
  <c r="O101" i="1"/>
  <c r="J101" i="1"/>
  <c r="F101" i="1"/>
  <c r="AB100" i="1"/>
  <c r="O100" i="1"/>
  <c r="J100" i="1"/>
  <c r="F100" i="1"/>
  <c r="AB99" i="1"/>
  <c r="X99" i="1"/>
  <c r="V99" i="1" s="1"/>
  <c r="U99" i="1" s="1"/>
  <c r="O99" i="1"/>
  <c r="J99" i="1"/>
  <c r="F99" i="1"/>
  <c r="AB98" i="1"/>
  <c r="X98" i="1"/>
  <c r="V98" i="1" s="1"/>
  <c r="U98" i="1" s="1"/>
  <c r="P98" i="1"/>
  <c r="O98" i="1" s="1"/>
  <c r="K98" i="1"/>
  <c r="J98" i="1" s="1"/>
  <c r="F98" i="1"/>
  <c r="X97" i="1"/>
  <c r="Q97" i="1"/>
  <c r="P97" i="1"/>
  <c r="K97" i="1"/>
  <c r="J97" i="1" s="1"/>
  <c r="F97" i="1"/>
  <c r="AB96" i="1"/>
  <c r="X96" i="1"/>
  <c r="V96" i="1" s="1"/>
  <c r="U96" i="1" s="1"/>
  <c r="O96" i="1"/>
  <c r="J96" i="1"/>
  <c r="F96" i="1"/>
  <c r="AB95" i="1"/>
  <c r="X95" i="1"/>
  <c r="V95" i="1" s="1"/>
  <c r="U95" i="1" s="1"/>
  <c r="R95" i="1"/>
  <c r="P95" i="1"/>
  <c r="N95" i="1"/>
  <c r="K95" i="1"/>
  <c r="J95" i="1" s="1"/>
  <c r="F95" i="1"/>
  <c r="AB94" i="1"/>
  <c r="X94" i="1"/>
  <c r="V94" i="1" s="1"/>
  <c r="U94" i="1" s="1"/>
  <c r="P94" i="1"/>
  <c r="O94" i="1" s="1"/>
  <c r="N94" i="1"/>
  <c r="J94" i="1"/>
  <c r="F94" i="1"/>
  <c r="AB93" i="1"/>
  <c r="Q93" i="1"/>
  <c r="O93" i="1" s="1"/>
  <c r="N93" i="1"/>
  <c r="J93" i="1"/>
  <c r="F93" i="1"/>
  <c r="P92" i="1"/>
  <c r="O92" i="1" s="1"/>
  <c r="N92" i="1"/>
  <c r="J92" i="1"/>
  <c r="F92" i="1"/>
  <c r="X91" i="1"/>
  <c r="AB91" i="1"/>
  <c r="O91" i="1"/>
  <c r="J91" i="1"/>
  <c r="F91" i="1"/>
  <c r="P90" i="1"/>
  <c r="O90" i="1" s="1"/>
  <c r="N90" i="1"/>
  <c r="K90" i="1"/>
  <c r="J90" i="1" s="1"/>
  <c r="F90" i="1"/>
  <c r="X89" i="1"/>
  <c r="AB89" i="1"/>
  <c r="O89" i="1"/>
  <c r="K89" i="1"/>
  <c r="J89" i="1" s="1"/>
  <c r="F89" i="1"/>
  <c r="O88" i="1"/>
  <c r="J88" i="1"/>
  <c r="F88" i="1"/>
  <c r="O87" i="1"/>
  <c r="J87" i="1"/>
  <c r="H87" i="1"/>
  <c r="F87" i="1" s="1"/>
  <c r="X86" i="1"/>
  <c r="O86" i="1"/>
  <c r="J86" i="1"/>
  <c r="F86" i="1"/>
  <c r="AB85" i="1"/>
  <c r="X85" i="1"/>
  <c r="V85" i="1" s="1"/>
  <c r="U85" i="1" s="1"/>
  <c r="O85" i="1"/>
  <c r="J85" i="1"/>
  <c r="F85" i="1"/>
  <c r="AB84" i="1"/>
  <c r="X84" i="1"/>
  <c r="V84" i="1" s="1"/>
  <c r="U84" i="1" s="1"/>
  <c r="O84" i="1"/>
  <c r="J84" i="1"/>
  <c r="F84" i="1"/>
  <c r="AB83" i="1"/>
  <c r="X83" i="1"/>
  <c r="V83" i="1" s="1"/>
  <c r="U83" i="1" s="1"/>
  <c r="O83" i="1"/>
  <c r="J83" i="1"/>
  <c r="F83" i="1"/>
  <c r="AB82" i="1"/>
  <c r="X82" i="1"/>
  <c r="V82" i="1" s="1"/>
  <c r="U82" i="1" s="1"/>
  <c r="P82" i="1"/>
  <c r="O82" i="1" s="1"/>
  <c r="J82" i="1"/>
  <c r="F82" i="1"/>
  <c r="AB81" i="1"/>
  <c r="X81" i="1"/>
  <c r="V81" i="1" s="1"/>
  <c r="U81" i="1" s="1"/>
  <c r="O81" i="1"/>
  <c r="J81" i="1"/>
  <c r="F81" i="1"/>
  <c r="AB80" i="1"/>
  <c r="X80" i="1"/>
  <c r="V80" i="1" s="1"/>
  <c r="U80" i="1" s="1"/>
  <c r="P80" i="1"/>
  <c r="O80" i="1" s="1"/>
  <c r="N80" i="1"/>
  <c r="J80" i="1"/>
  <c r="F80" i="1"/>
  <c r="AB79" i="1"/>
  <c r="X79" i="1"/>
  <c r="V79" i="1" s="1"/>
  <c r="U79" i="1" s="1"/>
  <c r="O79" i="1"/>
  <c r="N79" i="1"/>
  <c r="J79" i="1"/>
  <c r="F79" i="1"/>
  <c r="AB78" i="1"/>
  <c r="X78" i="1"/>
  <c r="V78" i="1" s="1"/>
  <c r="U78" i="1" s="1"/>
  <c r="O78" i="1"/>
  <c r="N78" i="1"/>
  <c r="J78" i="1"/>
  <c r="F78" i="1"/>
  <c r="AB77" i="1"/>
  <c r="X77" i="1"/>
  <c r="V77" i="1" s="1"/>
  <c r="U77" i="1" s="1"/>
  <c r="O77" i="1"/>
  <c r="J77" i="1"/>
  <c r="F77" i="1"/>
  <c r="AB76" i="1"/>
  <c r="X76" i="1"/>
  <c r="V76" i="1" s="1"/>
  <c r="U76" i="1" s="1"/>
  <c r="O76" i="1"/>
  <c r="N76" i="1"/>
  <c r="J76" i="1"/>
  <c r="F76" i="1"/>
  <c r="AB75" i="1"/>
  <c r="X75" i="1"/>
  <c r="V75" i="1" s="1"/>
  <c r="U75" i="1" s="1"/>
  <c r="O75" i="1"/>
  <c r="J75" i="1"/>
  <c r="F75" i="1"/>
  <c r="AB74" i="1"/>
  <c r="X74" i="1"/>
  <c r="V74" i="1" s="1"/>
  <c r="U74" i="1" s="1"/>
  <c r="O74" i="1"/>
  <c r="J74" i="1"/>
  <c r="F74" i="1"/>
  <c r="AB73" i="1"/>
  <c r="X73" i="1"/>
  <c r="V73" i="1" s="1"/>
  <c r="U73" i="1" s="1"/>
  <c r="O73" i="1"/>
  <c r="N73" i="1"/>
  <c r="J73" i="1"/>
  <c r="F73" i="1"/>
  <c r="AB72" i="1"/>
  <c r="X72" i="1"/>
  <c r="V72" i="1" s="1"/>
  <c r="U72" i="1" s="1"/>
  <c r="O72" i="1"/>
  <c r="N72" i="1"/>
  <c r="J72" i="1"/>
  <c r="F72" i="1"/>
  <c r="AB71" i="1"/>
  <c r="X71" i="1"/>
  <c r="V71" i="1" s="1"/>
  <c r="U71" i="1" s="1"/>
  <c r="O71" i="1"/>
  <c r="J71" i="1"/>
  <c r="F71" i="1"/>
  <c r="AB70" i="1"/>
  <c r="X70" i="1"/>
  <c r="V70" i="1" s="1"/>
  <c r="U70" i="1" s="1"/>
  <c r="O70" i="1"/>
  <c r="J70" i="1"/>
  <c r="F70" i="1"/>
  <c r="AB69" i="1"/>
  <c r="X69" i="1"/>
  <c r="V69" i="1" s="1"/>
  <c r="U69" i="1" s="1"/>
  <c r="O69" i="1"/>
  <c r="J69" i="1"/>
  <c r="F69" i="1"/>
  <c r="AB68" i="1"/>
  <c r="X68" i="1"/>
  <c r="V68" i="1" s="1"/>
  <c r="U68" i="1" s="1"/>
  <c r="O68" i="1"/>
  <c r="J68" i="1"/>
  <c r="F68" i="1"/>
  <c r="AB67" i="1"/>
  <c r="X67" i="1"/>
  <c r="V67" i="1" s="1"/>
  <c r="U67" i="1" s="1"/>
  <c r="P67" i="1"/>
  <c r="O67" i="1" s="1"/>
  <c r="N67" i="1"/>
  <c r="J67" i="1"/>
  <c r="F67" i="1"/>
  <c r="AB66" i="1"/>
  <c r="X66" i="1"/>
  <c r="V66" i="1" s="1"/>
  <c r="U66" i="1" s="1"/>
  <c r="O66" i="1"/>
  <c r="J66" i="1"/>
  <c r="F66" i="1"/>
  <c r="AB65" i="1"/>
  <c r="X65" i="1"/>
  <c r="V65" i="1" s="1"/>
  <c r="U65" i="1" s="1"/>
  <c r="O65" i="1"/>
  <c r="J65" i="1"/>
  <c r="F65" i="1"/>
  <c r="AB64" i="1"/>
  <c r="X64" i="1"/>
  <c r="V64" i="1" s="1"/>
  <c r="U64" i="1" s="1"/>
  <c r="P64" i="1"/>
  <c r="O64" i="1" s="1"/>
  <c r="N64" i="1"/>
  <c r="J64" i="1"/>
  <c r="F64" i="1"/>
  <c r="AB63" i="1"/>
  <c r="X63" i="1"/>
  <c r="V63" i="1" s="1"/>
  <c r="U63" i="1" s="1"/>
  <c r="O63" i="1"/>
  <c r="N63" i="1"/>
  <c r="J63" i="1"/>
  <c r="F63" i="1"/>
  <c r="AB62" i="1"/>
  <c r="X62" i="1"/>
  <c r="V62" i="1" s="1"/>
  <c r="U62" i="1" s="1"/>
  <c r="O62" i="1"/>
  <c r="J62" i="1"/>
  <c r="F62" i="1"/>
  <c r="AB61" i="1"/>
  <c r="X61" i="1"/>
  <c r="V61" i="1" s="1"/>
  <c r="U61" i="1" s="1"/>
  <c r="O61" i="1"/>
  <c r="N61" i="1"/>
  <c r="J61" i="1"/>
  <c r="F61" i="1"/>
  <c r="AB60" i="1"/>
  <c r="X60" i="1"/>
  <c r="V60" i="1" s="1"/>
  <c r="U60" i="1" s="1"/>
  <c r="O60" i="1"/>
  <c r="J60" i="1"/>
  <c r="F60" i="1"/>
  <c r="X59" i="1"/>
  <c r="AB59" i="1"/>
  <c r="O59" i="1"/>
  <c r="J59" i="1"/>
  <c r="F59" i="1"/>
  <c r="AB58" i="1"/>
  <c r="X58" i="1"/>
  <c r="V58" i="1" s="1"/>
  <c r="U58" i="1" s="1"/>
  <c r="O58" i="1"/>
  <c r="K58" i="1"/>
  <c r="J58" i="1" s="1"/>
  <c r="F58" i="1"/>
  <c r="AB57" i="1"/>
  <c r="X57" i="1"/>
  <c r="V57" i="1" s="1"/>
  <c r="U57" i="1" s="1"/>
  <c r="O57" i="1"/>
  <c r="J57" i="1"/>
  <c r="F57" i="1"/>
  <c r="AB56" i="1"/>
  <c r="X56" i="1"/>
  <c r="V56" i="1" s="1"/>
  <c r="U56" i="1" s="1"/>
  <c r="O56" i="1"/>
  <c r="J56" i="1"/>
  <c r="F56" i="1"/>
  <c r="AB55" i="1"/>
  <c r="X55" i="1"/>
  <c r="V55" i="1" s="1"/>
  <c r="U55" i="1" s="1"/>
  <c r="O55" i="1"/>
  <c r="J55" i="1"/>
  <c r="F55" i="1"/>
  <c r="AB54" i="1"/>
  <c r="X54" i="1"/>
  <c r="V54" i="1" s="1"/>
  <c r="U54" i="1" s="1"/>
  <c r="O54" i="1"/>
  <c r="J54" i="1"/>
  <c r="F54" i="1"/>
  <c r="AB53" i="1"/>
  <c r="X53" i="1"/>
  <c r="V53" i="1" s="1"/>
  <c r="U53" i="1" s="1"/>
  <c r="O53" i="1"/>
  <c r="J53" i="1"/>
  <c r="F53" i="1"/>
  <c r="AB52" i="1"/>
  <c r="X52" i="1"/>
  <c r="V52" i="1" s="1"/>
  <c r="U52" i="1" s="1"/>
  <c r="P52" i="1"/>
  <c r="O52" i="1" s="1"/>
  <c r="K52" i="1"/>
  <c r="J52" i="1" s="1"/>
  <c r="F52" i="1"/>
  <c r="AB51" i="1"/>
  <c r="X51" i="1"/>
  <c r="V51" i="1" s="1"/>
  <c r="U51" i="1" s="1"/>
  <c r="O51" i="1"/>
  <c r="K51" i="1"/>
  <c r="J51" i="1" s="1"/>
  <c r="F51" i="1"/>
  <c r="P50" i="1"/>
  <c r="O50" i="1" s="1"/>
  <c r="N50" i="1"/>
  <c r="K50" i="1"/>
  <c r="J50" i="1" s="1"/>
  <c r="F50" i="1"/>
  <c r="AB49" i="1"/>
  <c r="X49" i="1"/>
  <c r="V49" i="1" s="1"/>
  <c r="U49" i="1" s="1"/>
  <c r="O49" i="1"/>
  <c r="J49" i="1"/>
  <c r="F49" i="1"/>
  <c r="AB48" i="1"/>
  <c r="X48" i="1"/>
  <c r="V48" i="1" s="1"/>
  <c r="U48" i="1" s="1"/>
  <c r="P48" i="1"/>
  <c r="O48" i="1" s="1"/>
  <c r="J48" i="1"/>
  <c r="F48" i="1"/>
  <c r="AB47" i="1"/>
  <c r="X47" i="1"/>
  <c r="V47" i="1" s="1"/>
  <c r="U47" i="1" s="1"/>
  <c r="P47" i="1"/>
  <c r="O47" i="1" s="1"/>
  <c r="N47" i="1"/>
  <c r="J47" i="1"/>
  <c r="F47" i="1"/>
  <c r="AB46" i="1"/>
  <c r="X46" i="1"/>
  <c r="V46" i="1" s="1"/>
  <c r="U46" i="1" s="1"/>
  <c r="O46" i="1"/>
  <c r="J46" i="1"/>
  <c r="F46" i="1"/>
  <c r="AB45" i="1"/>
  <c r="X45" i="1"/>
  <c r="V45" i="1" s="1"/>
  <c r="U45" i="1" s="1"/>
  <c r="O45" i="1"/>
  <c r="J45" i="1"/>
  <c r="F45" i="1"/>
  <c r="AB44" i="1"/>
  <c r="X44" i="1"/>
  <c r="V44" i="1" s="1"/>
  <c r="U44" i="1" s="1"/>
  <c r="O44" i="1"/>
  <c r="J44" i="1"/>
  <c r="F44" i="1"/>
  <c r="AB43" i="1"/>
  <c r="X43" i="1"/>
  <c r="V43" i="1" s="1"/>
  <c r="U43" i="1" s="1"/>
  <c r="O43" i="1"/>
  <c r="J43" i="1"/>
  <c r="F43" i="1"/>
  <c r="AB42" i="1"/>
  <c r="X42" i="1"/>
  <c r="V42" i="1" s="1"/>
  <c r="U42" i="1" s="1"/>
  <c r="O42" i="1"/>
  <c r="J42" i="1"/>
  <c r="F42" i="1"/>
  <c r="AB41" i="1"/>
  <c r="X41" i="1"/>
  <c r="V41" i="1" s="1"/>
  <c r="U41" i="1" s="1"/>
  <c r="O41" i="1"/>
  <c r="K41" i="1"/>
  <c r="J41" i="1" s="1"/>
  <c r="F41" i="1"/>
  <c r="AB40" i="1"/>
  <c r="X40" i="1"/>
  <c r="V40" i="1" s="1"/>
  <c r="U40" i="1" s="1"/>
  <c r="O40" i="1"/>
  <c r="K40" i="1"/>
  <c r="J40" i="1" s="1"/>
  <c r="F40" i="1"/>
  <c r="AB39" i="1"/>
  <c r="X39" i="1"/>
  <c r="V39" i="1" s="1"/>
  <c r="U39" i="1" s="1"/>
  <c r="P39" i="1"/>
  <c r="O39" i="1"/>
  <c r="K39" i="1"/>
  <c r="J39" i="1" s="1"/>
  <c r="F39" i="1"/>
  <c r="AB38" i="1"/>
  <c r="X38" i="1"/>
  <c r="V38" i="1" s="1"/>
  <c r="U38" i="1" s="1"/>
  <c r="O38" i="1"/>
  <c r="J38" i="1"/>
  <c r="F38" i="1"/>
  <c r="AB37" i="1"/>
  <c r="X37" i="1"/>
  <c r="V37" i="1" s="1"/>
  <c r="U37" i="1" s="1"/>
  <c r="O37" i="1"/>
  <c r="K37" i="1"/>
  <c r="J37" i="1" s="1"/>
  <c r="H37" i="1"/>
  <c r="X36" i="1"/>
  <c r="AB36" i="1"/>
  <c r="P36" i="1"/>
  <c r="O36" i="1" s="1"/>
  <c r="N36" i="1"/>
  <c r="K36" i="1"/>
  <c r="J36" i="1" s="1"/>
  <c r="F36" i="1"/>
  <c r="AB35" i="1"/>
  <c r="X35" i="1"/>
  <c r="V35" i="1" s="1"/>
  <c r="U35" i="1" s="1"/>
  <c r="P35" i="1"/>
  <c r="O35" i="1" s="1"/>
  <c r="K35" i="1"/>
  <c r="J35" i="1" s="1"/>
  <c r="F35" i="1"/>
  <c r="AB34" i="1"/>
  <c r="X34" i="1"/>
  <c r="V34" i="1" s="1"/>
  <c r="U34" i="1" s="1"/>
  <c r="P34" i="1"/>
  <c r="O34" i="1" s="1"/>
  <c r="N34" i="1"/>
  <c r="K34" i="1"/>
  <c r="J34" i="1" s="1"/>
  <c r="F34" i="1"/>
  <c r="X33" i="1"/>
  <c r="AB33" i="1"/>
  <c r="O33" i="1"/>
  <c r="J33" i="1"/>
  <c r="F33" i="1"/>
  <c r="X32" i="1"/>
  <c r="AB32" i="1"/>
  <c r="O32" i="1"/>
  <c r="J32" i="1"/>
  <c r="F32" i="1"/>
  <c r="X31" i="1"/>
  <c r="O31" i="1"/>
  <c r="J31" i="1"/>
  <c r="F31" i="1"/>
  <c r="X30" i="1"/>
  <c r="AB30" i="1"/>
  <c r="O30" i="1"/>
  <c r="J30" i="1"/>
  <c r="F30" i="1"/>
  <c r="AB29" i="1"/>
  <c r="O29" i="1"/>
  <c r="J29" i="1"/>
  <c r="F29" i="1"/>
  <c r="X28" i="1"/>
  <c r="O28" i="1"/>
  <c r="J28" i="1"/>
  <c r="F28" i="1"/>
  <c r="P27" i="1"/>
  <c r="O27" i="1" s="1"/>
  <c r="N27" i="1"/>
  <c r="K27" i="1"/>
  <c r="J27" i="1" s="1"/>
  <c r="F27" i="1"/>
  <c r="X26" i="1"/>
  <c r="AB26" i="1"/>
  <c r="O26" i="1"/>
  <c r="J26" i="1"/>
  <c r="F26" i="1"/>
  <c r="AB25" i="1"/>
  <c r="X25" i="1"/>
  <c r="V25" i="1" s="1"/>
  <c r="U25" i="1" s="1"/>
  <c r="O25" i="1"/>
  <c r="J25" i="1"/>
  <c r="F25" i="1"/>
  <c r="AB24" i="1"/>
  <c r="X24" i="1"/>
  <c r="V24" i="1" s="1"/>
  <c r="U24" i="1" s="1"/>
  <c r="O24" i="1"/>
  <c r="J24" i="1"/>
  <c r="F24" i="1"/>
  <c r="AB23" i="1"/>
  <c r="X23" i="1"/>
  <c r="V23" i="1" s="1"/>
  <c r="U23" i="1" s="1"/>
  <c r="O23" i="1"/>
  <c r="J23" i="1"/>
  <c r="F23" i="1"/>
  <c r="AB22" i="1"/>
  <c r="X22" i="1"/>
  <c r="V22" i="1" s="1"/>
  <c r="U22" i="1" s="1"/>
  <c r="O22" i="1"/>
  <c r="J22" i="1"/>
  <c r="F22" i="1"/>
  <c r="X21" i="1"/>
  <c r="AB21" i="1"/>
  <c r="O21" i="1"/>
  <c r="J21" i="1"/>
  <c r="F21" i="1"/>
  <c r="AB20" i="1"/>
  <c r="O20" i="1"/>
  <c r="J20" i="1"/>
  <c r="F20" i="1"/>
  <c r="AB19" i="1"/>
  <c r="X19" i="1"/>
  <c r="V19" i="1" s="1"/>
  <c r="U19" i="1" s="1"/>
  <c r="O19" i="1"/>
  <c r="N19" i="1"/>
  <c r="J19" i="1"/>
  <c r="F19" i="1"/>
  <c r="AB18" i="1"/>
  <c r="X18" i="1"/>
  <c r="V18" i="1" s="1"/>
  <c r="U18" i="1" s="1"/>
  <c r="O18" i="1"/>
  <c r="J18" i="1"/>
  <c r="F18" i="1"/>
  <c r="AB17" i="1"/>
  <c r="X17" i="1"/>
  <c r="V17" i="1" s="1"/>
  <c r="U17" i="1" s="1"/>
  <c r="O17" i="1"/>
  <c r="J17" i="1"/>
  <c r="F17" i="1"/>
  <c r="AB16" i="1"/>
  <c r="X16" i="1"/>
  <c r="V16" i="1" s="1"/>
  <c r="U16" i="1" s="1"/>
  <c r="P16" i="1"/>
  <c r="O16" i="1" s="1"/>
  <c r="J16" i="1"/>
  <c r="F16" i="1"/>
  <c r="AB15" i="1"/>
  <c r="X15" i="1"/>
  <c r="V15" i="1" s="1"/>
  <c r="U15" i="1" s="1"/>
  <c r="P15" i="1"/>
  <c r="O15" i="1" s="1"/>
  <c r="N15" i="1"/>
  <c r="J15" i="1"/>
  <c r="F15" i="1"/>
  <c r="X14" i="1"/>
  <c r="P14" i="1"/>
  <c r="O14" i="1"/>
  <c r="N14" i="1"/>
  <c r="J14" i="1"/>
  <c r="F14" i="1"/>
  <c r="O13" i="1"/>
  <c r="J13" i="1"/>
  <c r="F13" i="1"/>
  <c r="X12" i="1"/>
  <c r="O12" i="1"/>
  <c r="N12" i="1"/>
  <c r="J12" i="1"/>
  <c r="F12" i="1"/>
  <c r="X11" i="1"/>
  <c r="AB11" i="1"/>
  <c r="O11" i="1"/>
  <c r="J11" i="1"/>
  <c r="F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B10" i="1"/>
  <c r="O10" i="1"/>
  <c r="J10" i="1"/>
  <c r="F10" i="1"/>
  <c r="D9" i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AB92" i="1" l="1"/>
  <c r="X27" i="1"/>
  <c r="V27" i="1" s="1"/>
  <c r="U27" i="1" s="1"/>
  <c r="I33" i="1"/>
  <c r="T33" i="1" s="1"/>
  <c r="X117" i="1"/>
  <c r="V117" i="1" s="1"/>
  <c r="U117" i="1" s="1"/>
  <c r="AB13" i="1"/>
  <c r="I69" i="1"/>
  <c r="T69" i="1" s="1"/>
  <c r="AJ69" i="1" s="1"/>
  <c r="I99" i="1"/>
  <c r="T99" i="1" s="1"/>
  <c r="AJ99" i="1" s="1"/>
  <c r="I46" i="1"/>
  <c r="I57" i="1"/>
  <c r="I28" i="1"/>
  <c r="T28" i="1" s="1"/>
  <c r="I24" i="1"/>
  <c r="T24" i="1" s="1"/>
  <c r="AJ24" i="1" s="1"/>
  <c r="I25" i="1"/>
  <c r="X10" i="1"/>
  <c r="V10" i="1" s="1"/>
  <c r="U10" i="1" s="1"/>
  <c r="X13" i="1"/>
  <c r="V13" i="1" s="1"/>
  <c r="U13" i="1" s="1"/>
  <c r="X90" i="1"/>
  <c r="V90" i="1" s="1"/>
  <c r="U90" i="1" s="1"/>
  <c r="X103" i="1"/>
  <c r="V103" i="1" s="1"/>
  <c r="U103" i="1" s="1"/>
  <c r="X121" i="1"/>
  <c r="V121" i="1" s="1"/>
  <c r="U121" i="1" s="1"/>
  <c r="I77" i="1"/>
  <c r="T77" i="1" s="1"/>
  <c r="AJ77" i="1" s="1"/>
  <c r="X120" i="1"/>
  <c r="V120" i="1" s="1"/>
  <c r="U120" i="1" s="1"/>
  <c r="I23" i="1"/>
  <c r="X111" i="1"/>
  <c r="V111" i="1" s="1"/>
  <c r="U111" i="1" s="1"/>
  <c r="V33" i="1"/>
  <c r="U33" i="1" s="1"/>
  <c r="I21" i="1"/>
  <c r="T21" i="1" s="1"/>
  <c r="I71" i="1"/>
  <c r="T71" i="1" s="1"/>
  <c r="AJ71" i="1" s="1"/>
  <c r="V86" i="1"/>
  <c r="U86" i="1" s="1"/>
  <c r="X100" i="1"/>
  <c r="V100" i="1" s="1"/>
  <c r="U100" i="1" s="1"/>
  <c r="I15" i="1"/>
  <c r="T15" i="1" s="1"/>
  <c r="AJ15" i="1" s="1"/>
  <c r="I51" i="1"/>
  <c r="T51" i="1" s="1"/>
  <c r="AJ51" i="1" s="1"/>
  <c r="I109" i="1"/>
  <c r="I48" i="1"/>
  <c r="I74" i="1"/>
  <c r="T74" i="1" s="1"/>
  <c r="AJ74" i="1" s="1"/>
  <c r="I82" i="1"/>
  <c r="T82" i="1" s="1"/>
  <c r="AJ82" i="1" s="1"/>
  <c r="I120" i="1"/>
  <c r="T120" i="1" s="1"/>
  <c r="V36" i="1"/>
  <c r="U36" i="1" s="1"/>
  <c r="I31" i="1"/>
  <c r="T31" i="1" s="1"/>
  <c r="I29" i="1"/>
  <c r="T29" i="1" s="1"/>
  <c r="I36" i="1"/>
  <c r="T36" i="1" s="1"/>
  <c r="AC123" i="1"/>
  <c r="AB12" i="1"/>
  <c r="X20" i="1"/>
  <c r="V20" i="1" s="1"/>
  <c r="U20" i="1" s="1"/>
  <c r="I37" i="1"/>
  <c r="I38" i="1"/>
  <c r="T38" i="1" s="1"/>
  <c r="AJ38" i="1" s="1"/>
  <c r="AB86" i="1"/>
  <c r="X88" i="1"/>
  <c r="V88" i="1" s="1"/>
  <c r="U88" i="1" s="1"/>
  <c r="X106" i="1"/>
  <c r="V106" i="1" s="1"/>
  <c r="U106" i="1" s="1"/>
  <c r="X108" i="1"/>
  <c r="V108" i="1" s="1"/>
  <c r="U108" i="1" s="1"/>
  <c r="I110" i="1"/>
  <c r="X122" i="1"/>
  <c r="V122" i="1" s="1"/>
  <c r="U122" i="1" s="1"/>
  <c r="X109" i="1"/>
  <c r="V109" i="1" s="1"/>
  <c r="U109" i="1" s="1"/>
  <c r="I35" i="1"/>
  <c r="T35" i="1" s="1"/>
  <c r="AJ35" i="1" s="1"/>
  <c r="I16" i="1"/>
  <c r="T16" i="1" s="1"/>
  <c r="AJ16" i="1" s="1"/>
  <c r="I22" i="1"/>
  <c r="I18" i="1"/>
  <c r="X29" i="1"/>
  <c r="V29" i="1" s="1"/>
  <c r="U29" i="1" s="1"/>
  <c r="I54" i="1"/>
  <c r="I55" i="1"/>
  <c r="I68" i="1"/>
  <c r="X119" i="1"/>
  <c r="V119" i="1" s="1"/>
  <c r="U119" i="1" s="1"/>
  <c r="I108" i="1"/>
  <c r="I14" i="1"/>
  <c r="T14" i="1" s="1"/>
  <c r="N123" i="1"/>
  <c r="AB14" i="1"/>
  <c r="I17" i="1"/>
  <c r="T17" i="1" s="1"/>
  <c r="AJ17" i="1" s="1"/>
  <c r="AB27" i="1"/>
  <c r="V30" i="1"/>
  <c r="U30" i="1" s="1"/>
  <c r="I53" i="1"/>
  <c r="T53" i="1" s="1"/>
  <c r="AJ53" i="1" s="1"/>
  <c r="I70" i="1"/>
  <c r="I75" i="1"/>
  <c r="T75" i="1" s="1"/>
  <c r="AJ75" i="1" s="1"/>
  <c r="O97" i="1"/>
  <c r="I97" i="1" s="1"/>
  <c r="T97" i="1" s="1"/>
  <c r="X102" i="1"/>
  <c r="V102" i="1" s="1"/>
  <c r="U102" i="1" s="1"/>
  <c r="X105" i="1"/>
  <c r="V105" i="1" s="1"/>
  <c r="U105" i="1" s="1"/>
  <c r="V28" i="1"/>
  <c r="U28" i="1" s="1"/>
  <c r="AB111" i="1"/>
  <c r="I121" i="1"/>
  <c r="I11" i="1"/>
  <c r="T11" i="1" s="1"/>
  <c r="I19" i="1"/>
  <c r="T19" i="1" s="1"/>
  <c r="AJ19" i="1" s="1"/>
  <c r="X50" i="1"/>
  <c r="V50" i="1" s="1"/>
  <c r="U50" i="1" s="1"/>
  <c r="I59" i="1"/>
  <c r="I89" i="1"/>
  <c r="T89" i="1" s="1"/>
  <c r="I91" i="1"/>
  <c r="V97" i="1"/>
  <c r="U97" i="1" s="1"/>
  <c r="I100" i="1"/>
  <c r="T100" i="1" s="1"/>
  <c r="I105" i="1"/>
  <c r="X116" i="1"/>
  <c r="V116" i="1" s="1"/>
  <c r="U116" i="1" s="1"/>
  <c r="I102" i="1"/>
  <c r="T102" i="1" s="1"/>
  <c r="I122" i="1"/>
  <c r="V32" i="1"/>
  <c r="U32" i="1" s="1"/>
  <c r="V59" i="1"/>
  <c r="U59" i="1" s="1"/>
  <c r="I83" i="1"/>
  <c r="T83" i="1" s="1"/>
  <c r="AJ83" i="1" s="1"/>
  <c r="V89" i="1"/>
  <c r="U89" i="1" s="1"/>
  <c r="I98" i="1"/>
  <c r="T98" i="1" s="1"/>
  <c r="AJ98" i="1" s="1"/>
  <c r="I114" i="1"/>
  <c r="I115" i="1"/>
  <c r="V11" i="1"/>
  <c r="U11" i="1" s="1"/>
  <c r="I13" i="1"/>
  <c r="T13" i="1" s="1"/>
  <c r="I52" i="1"/>
  <c r="V26" i="1"/>
  <c r="U26" i="1" s="1"/>
  <c r="I30" i="1"/>
  <c r="I61" i="1"/>
  <c r="I67" i="1"/>
  <c r="T67" i="1" s="1"/>
  <c r="AJ67" i="1" s="1"/>
  <c r="I79" i="1"/>
  <c r="T79" i="1" s="1"/>
  <c r="AJ79" i="1" s="1"/>
  <c r="I80" i="1"/>
  <c r="T80" i="1" s="1"/>
  <c r="AJ80" i="1" s="1"/>
  <c r="V91" i="1"/>
  <c r="U91" i="1" s="1"/>
  <c r="Q123" i="1"/>
  <c r="I94" i="1"/>
  <c r="T94" i="1" s="1"/>
  <c r="AJ94" i="1" s="1"/>
  <c r="I96" i="1"/>
  <c r="I10" i="1"/>
  <c r="I20" i="1"/>
  <c r="I27" i="1"/>
  <c r="T27" i="1" s="1"/>
  <c r="V31" i="1"/>
  <c r="U31" i="1" s="1"/>
  <c r="I34" i="1"/>
  <c r="I40" i="1"/>
  <c r="T40" i="1" s="1"/>
  <c r="AJ40" i="1" s="1"/>
  <c r="I60" i="1"/>
  <c r="T60" i="1" s="1"/>
  <c r="AJ60" i="1" s="1"/>
  <c r="I64" i="1"/>
  <c r="I81" i="1"/>
  <c r="I84" i="1"/>
  <c r="I85" i="1"/>
  <c r="I86" i="1"/>
  <c r="I88" i="1"/>
  <c r="I44" i="1"/>
  <c r="I101" i="1"/>
  <c r="I119" i="1"/>
  <c r="V21" i="1"/>
  <c r="U21" i="1" s="1"/>
  <c r="I26" i="1"/>
  <c r="T26" i="1" s="1"/>
  <c r="I41" i="1"/>
  <c r="T41" i="1" s="1"/>
  <c r="AJ41" i="1" s="1"/>
  <c r="I42" i="1"/>
  <c r="I47" i="1"/>
  <c r="I62" i="1"/>
  <c r="T62" i="1" s="1"/>
  <c r="AJ62" i="1" s="1"/>
  <c r="I65" i="1"/>
  <c r="I66" i="1"/>
  <c r="I103" i="1"/>
  <c r="I39" i="1"/>
  <c r="T39" i="1" s="1"/>
  <c r="AJ39" i="1" s="1"/>
  <c r="I104" i="1"/>
  <c r="I106" i="1"/>
  <c r="I112" i="1"/>
  <c r="AD123" i="1"/>
  <c r="T46" i="1"/>
  <c r="AJ46" i="1" s="1"/>
  <c r="I50" i="1"/>
  <c r="T50" i="1" s="1"/>
  <c r="AB88" i="1"/>
  <c r="AI123" i="1"/>
  <c r="P123" i="1"/>
  <c r="I32" i="1"/>
  <c r="T32" i="1" s="1"/>
  <c r="H123" i="1"/>
  <c r="F37" i="1"/>
  <c r="I43" i="1"/>
  <c r="X87" i="1"/>
  <c r="V87" i="1" s="1"/>
  <c r="U87" i="1" s="1"/>
  <c r="I73" i="1"/>
  <c r="I78" i="1"/>
  <c r="AB102" i="1"/>
  <c r="V107" i="1"/>
  <c r="U107" i="1" s="1"/>
  <c r="AB107" i="1"/>
  <c r="Y123" i="1"/>
  <c r="I45" i="1"/>
  <c r="I49" i="1"/>
  <c r="Z123" i="1"/>
  <c r="I12" i="1"/>
  <c r="T12" i="1" s="1"/>
  <c r="V12" i="1"/>
  <c r="U12" i="1" s="1"/>
  <c r="V14" i="1"/>
  <c r="U14" i="1" s="1"/>
  <c r="T25" i="1"/>
  <c r="AJ25" i="1" s="1"/>
  <c r="K123" i="1"/>
  <c r="J123" i="1" s="1"/>
  <c r="AB50" i="1"/>
  <c r="I56" i="1"/>
  <c r="T56" i="1" s="1"/>
  <c r="AJ56" i="1" s="1"/>
  <c r="I58" i="1"/>
  <c r="I63" i="1"/>
  <c r="T63" i="1" s="1"/>
  <c r="AJ63" i="1" s="1"/>
  <c r="AB28" i="1"/>
  <c r="AB31" i="1"/>
  <c r="I72" i="1"/>
  <c r="T72" i="1" s="1"/>
  <c r="AJ72" i="1" s="1"/>
  <c r="I90" i="1"/>
  <c r="AB106" i="1"/>
  <c r="I92" i="1"/>
  <c r="T92" i="1" s="1"/>
  <c r="X93" i="1"/>
  <c r="V93" i="1" s="1"/>
  <c r="U93" i="1" s="1"/>
  <c r="AB97" i="1"/>
  <c r="I118" i="1"/>
  <c r="T118" i="1" s="1"/>
  <c r="AB103" i="1"/>
  <c r="I111" i="1"/>
  <c r="AB104" i="1"/>
  <c r="V104" i="1"/>
  <c r="U104" i="1" s="1"/>
  <c r="AB121" i="1"/>
  <c r="I107" i="1"/>
  <c r="I76" i="1"/>
  <c r="I87" i="1"/>
  <c r="AB90" i="1"/>
  <c r="X92" i="1"/>
  <c r="V92" i="1" s="1"/>
  <c r="U92" i="1" s="1"/>
  <c r="I117" i="1"/>
  <c r="R123" i="1"/>
  <c r="O95" i="1"/>
  <c r="I95" i="1" s="1"/>
  <c r="V112" i="1"/>
  <c r="U112" i="1" s="1"/>
  <c r="O116" i="1"/>
  <c r="I116" i="1" s="1"/>
  <c r="X118" i="1"/>
  <c r="V118" i="1" s="1"/>
  <c r="U118" i="1" s="1"/>
  <c r="AB119" i="1"/>
  <c r="AB87" i="1"/>
  <c r="I93" i="1"/>
  <c r="T93" i="1" s="1"/>
  <c r="AB105" i="1"/>
  <c r="I113" i="1"/>
  <c r="T113" i="1" s="1"/>
  <c r="V113" i="1"/>
  <c r="U113" i="1" s="1"/>
  <c r="AJ27" i="1" l="1"/>
  <c r="T64" i="1"/>
  <c r="AJ64" i="1" s="1"/>
  <c r="T57" i="1"/>
  <c r="AJ57" i="1" s="1"/>
  <c r="AJ33" i="1"/>
  <c r="AJ26" i="1"/>
  <c r="AJ36" i="1"/>
  <c r="T105" i="1"/>
  <c r="T96" i="1"/>
  <c r="AJ96" i="1" s="1"/>
  <c r="T59" i="1"/>
  <c r="AJ59" i="1" s="1"/>
  <c r="AJ28" i="1"/>
  <c r="AJ29" i="1"/>
  <c r="AJ102" i="1"/>
  <c r="AJ13" i="1"/>
  <c r="T23" i="1"/>
  <c r="AJ23" i="1" s="1"/>
  <c r="T114" i="1"/>
  <c r="AJ114" i="1" s="1"/>
  <c r="T91" i="1"/>
  <c r="T109" i="1"/>
  <c r="AJ109" i="1" s="1"/>
  <c r="T87" i="1"/>
  <c r="AJ87" i="1" s="1"/>
  <c r="T119" i="1"/>
  <c r="T48" i="1"/>
  <c r="AJ48" i="1" s="1"/>
  <c r="T22" i="1"/>
  <c r="AJ22" i="1" s="1"/>
  <c r="T55" i="1"/>
  <c r="AJ55" i="1" s="1"/>
  <c r="T70" i="1"/>
  <c r="AJ70" i="1" s="1"/>
  <c r="T52" i="1"/>
  <c r="AJ52" i="1" s="1"/>
  <c r="T34" i="1"/>
  <c r="AJ34" i="1" s="1"/>
  <c r="T47" i="1"/>
  <c r="AJ47" i="1" s="1"/>
  <c r="AJ21" i="1"/>
  <c r="AJ11" i="1"/>
  <c r="T106" i="1"/>
  <c r="AJ106" i="1" s="1"/>
  <c r="T68" i="1"/>
  <c r="AJ68" i="1" s="1"/>
  <c r="T20" i="1"/>
  <c r="AJ20" i="1" s="1"/>
  <c r="T85" i="1"/>
  <c r="AJ85" i="1" s="1"/>
  <c r="T103" i="1"/>
  <c r="T101" i="1"/>
  <c r="AJ101" i="1" s="1"/>
  <c r="T122" i="1"/>
  <c r="T110" i="1"/>
  <c r="AJ110" i="1" s="1"/>
  <c r="T84" i="1"/>
  <c r="AJ84" i="1" s="1"/>
  <c r="T66" i="1"/>
  <c r="AJ66" i="1" s="1"/>
  <c r="AJ100" i="1"/>
  <c r="T30" i="1"/>
  <c r="AJ30" i="1" s="1"/>
  <c r="T10" i="1"/>
  <c r="T54" i="1"/>
  <c r="AJ54" i="1" s="1"/>
  <c r="AJ31" i="1"/>
  <c r="T104" i="1"/>
  <c r="AJ104" i="1" s="1"/>
  <c r="T115" i="1"/>
  <c r="AJ115" i="1" s="1"/>
  <c r="AJ97" i="1"/>
  <c r="T18" i="1"/>
  <c r="AJ18" i="1" s="1"/>
  <c r="AJ32" i="1"/>
  <c r="T88" i="1"/>
  <c r="T61" i="1"/>
  <c r="AJ61" i="1" s="1"/>
  <c r="T108" i="1"/>
  <c r="T86" i="1"/>
  <c r="AJ86" i="1" s="1"/>
  <c r="AJ14" i="1"/>
  <c r="AJ89" i="1"/>
  <c r="T121" i="1"/>
  <c r="T44" i="1"/>
  <c r="AJ44" i="1" s="1"/>
  <c r="T81" i="1"/>
  <c r="AJ81" i="1" s="1"/>
  <c r="AJ93" i="1"/>
  <c r="T90" i="1"/>
  <c r="AJ90" i="1" s="1"/>
  <c r="T65" i="1"/>
  <c r="AJ65" i="1" s="1"/>
  <c r="T112" i="1"/>
  <c r="AJ112" i="1" s="1"/>
  <c r="T42" i="1"/>
  <c r="AJ42" i="1" s="1"/>
  <c r="AJ50" i="1"/>
  <c r="T116" i="1"/>
  <c r="AJ116" i="1" s="1"/>
  <c r="T95" i="1"/>
  <c r="AJ95" i="1" s="1"/>
  <c r="AJ92" i="1"/>
  <c r="AJ113" i="1"/>
  <c r="T107" i="1"/>
  <c r="AJ107" i="1" s="1"/>
  <c r="AJ12" i="1"/>
  <c r="T37" i="1"/>
  <c r="AJ37" i="1" s="1"/>
  <c r="T111" i="1"/>
  <c r="AJ111" i="1" s="1"/>
  <c r="T78" i="1"/>
  <c r="AJ78" i="1" s="1"/>
  <c r="T58" i="1"/>
  <c r="AJ58" i="1" s="1"/>
  <c r="I123" i="1"/>
  <c r="F123" i="1"/>
  <c r="T73" i="1"/>
  <c r="AJ73" i="1" s="1"/>
  <c r="T49" i="1"/>
  <c r="AJ49" i="1" s="1"/>
  <c r="X123" i="1"/>
  <c r="T76" i="1"/>
  <c r="AJ76" i="1" s="1"/>
  <c r="AB123" i="1"/>
  <c r="AJ118" i="1"/>
  <c r="U123" i="1"/>
  <c r="T45" i="1"/>
  <c r="AJ45" i="1" s="1"/>
  <c r="V123" i="1"/>
  <c r="T43" i="1"/>
  <c r="AJ43" i="1" s="1"/>
  <c r="AJ120" i="1"/>
  <c r="T117" i="1"/>
  <c r="AJ117" i="1" s="1"/>
  <c r="O123" i="1"/>
  <c r="AJ122" i="1" l="1"/>
  <c r="AJ91" i="1"/>
  <c r="AJ119" i="1"/>
  <c r="AJ105" i="1"/>
  <c r="AJ103" i="1"/>
  <c r="AJ10" i="1"/>
  <c r="AJ108" i="1"/>
  <c r="AJ88" i="1"/>
  <c r="AJ121" i="1"/>
  <c r="T123" i="1"/>
  <c r="AJ123" i="1" l="1"/>
</calcChain>
</file>

<file path=xl/sharedStrings.xml><?xml version="1.0" encoding="utf-8"?>
<sst xmlns="http://schemas.openxmlformats.org/spreadsheetml/2006/main" count="184" uniqueCount="183">
  <si>
    <t>Распределение стоимости медицинской помощи застрахованным в Хабаровском крае в рамках территориальной программы ОМС между медицинскими организациями на 2023 год</t>
  </si>
  <si>
    <t xml:space="preserve">кс    </t>
  </si>
  <si>
    <t>сдп</t>
  </si>
  <si>
    <t xml:space="preserve">дс   </t>
  </si>
  <si>
    <t xml:space="preserve">вмп   </t>
  </si>
  <si>
    <t xml:space="preserve"> руб.</t>
  </si>
  <si>
    <t>№ п/п</t>
  </si>
  <si>
    <t>Наименование медицинской организации</t>
  </si>
  <si>
    <t>код МО</t>
  </si>
  <si>
    <t>Наличие изменений в текущем решении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</si>
  <si>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</si>
  <si>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 xml:space="preserve">1.1 подушевое </t>
  </si>
  <si>
    <t xml:space="preserve">1.2 результативность 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</si>
  <si>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</si>
  <si>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>2.1. проведение профилактических медицинских осмотров и диспансеризации</t>
  </si>
  <si>
    <t>2.1.1 диспансеризация</t>
  </si>
  <si>
    <t xml:space="preserve">2.1.2. проф. осмотры </t>
  </si>
  <si>
    <t>2.1.3.углубленная диспансеризация</t>
  </si>
  <si>
    <t xml:space="preserve">2.2.проведение диагностических (лабораторных) исследований
</t>
  </si>
  <si>
    <t>2.3. посещения и обращения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</si>
  <si>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</si>
  <si>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</si>
  <si>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2.3.3Диспансерное наблюдение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</si>
  <si>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</si>
  <si>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Итого АПП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</si>
  <si>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</si>
  <si>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</si>
  <si>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4.1.1. КС по КСГ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</si>
  <si>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</si>
  <si>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</si>
  <si>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</si>
  <si>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4.2. Высокотехнологичная медицинская помощь</t>
  </si>
  <si>
    <t>Итого КС+ВМП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</si>
  <si>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</si>
  <si>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8. Медицинская помощь в амбулаторных, стационарных условиях и вне медицинской организации, оплата которой осуществляется по подушевому нормативу финансирования на прикрепившихся лиц, всего-в том числе в:</t>
  </si>
  <si>
    <t>8.2.1 амбулаторных условиях</t>
  </si>
  <si>
    <t>8.2.2. результативность</t>
  </si>
  <si>
    <t>8.3. стационарных условиях</t>
  </si>
  <si>
    <t>8.4.  условиях дневных стационаров</t>
  </si>
  <si>
    <t>9.Диализ</t>
  </si>
  <si>
    <t>ВСЕГО</t>
  </si>
  <si>
    <t>подушевое 1.1+1.2</t>
  </si>
  <si>
    <t>подушевое</t>
  </si>
  <si>
    <t>результативность</t>
  </si>
  <si>
    <t>всего2.1+ 2.2+2.3</t>
  </si>
  <si>
    <t>всего 2.1.1+2.1.2+2.1.3</t>
  </si>
  <si>
    <t>диспансеризация</t>
  </si>
  <si>
    <t xml:space="preserve">проф. осмотры </t>
  </si>
  <si>
    <t>углубленная диспансеризация</t>
  </si>
  <si>
    <t>диагностика</t>
  </si>
  <si>
    <t>всего 2.3.1+2.3.2+2.3.3</t>
  </si>
  <si>
    <t>посещения, обращения и стоматология по самостоятельным тарифам</t>
  </si>
  <si>
    <t>неотложная помощь по самостоятельным тарифам</t>
  </si>
  <si>
    <t>диспансерное наблюдение</t>
  </si>
  <si>
    <t>Финансовое обеспечение ФП/ФАП</t>
  </si>
  <si>
    <t>1+2+3</t>
  </si>
  <si>
    <t>4.1+4.2</t>
  </si>
  <si>
    <t>4.1.1+4.1.2</t>
  </si>
  <si>
    <t>Кс по КСГ/КПГ</t>
  </si>
  <si>
    <t>Итого ДС 4.1.2.1+4.1.2.2</t>
  </si>
  <si>
    <t>Стационар дневного пребывания при круглосуточном стационаре</t>
  </si>
  <si>
    <t>ДС при поликлинике</t>
  </si>
  <si>
    <t>ВМП , оплачиваемые по нормативам финансовых затрат</t>
  </si>
  <si>
    <t xml:space="preserve">СМП </t>
  </si>
  <si>
    <t>полный подушевой норматив</t>
  </si>
  <si>
    <t>1+2+3+4+5+8+9</t>
  </si>
  <si>
    <t>КГБУЗ "Краевая клиническая больница" им. проф. С.И. Сергеева МЗХК</t>
  </si>
  <si>
    <t>КГБУЗ "Краевая клиническая больница" имени профессора О.В. Владимирцева МЗХК</t>
  </si>
  <si>
    <t>КГБУЗ «Перинатальный центр» им.проф. Г.С.Постола МЗХК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</si>
  <si>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</si>
  <si>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</si>
  <si>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</si>
  <si>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</si>
  <si>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</si>
  <si>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КГАУЗ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</si>
  <si>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</si>
  <si>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</si>
  <si>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Хабаровский филиал ФГАУ "НМИЦ "МНТК "Микрохирургия глаза" им. акад. С.Н. Федорова"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</si>
  <si>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</si>
  <si>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</si>
  <si>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Хабаровский филиал ФГБНУ  "Дальневосточный научный центр физиологии и патологии дыхания"  НИИ охраны материнства и детства</t>
  </si>
  <si>
    <t xml:space="preserve">ООО "Б.Браун Авитум Руссланд Клиникс" </t>
  </si>
  <si>
    <t>КГБУЗ "Городская клиническая больница" им. Матвеева Д.Н. МЗХК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</si>
  <si>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</si>
  <si>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</si>
  <si>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</si>
  <si>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</si>
  <si>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</si>
  <si>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</si>
  <si>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дом" им. Венцовых МЗ 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</si>
  <si>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</si>
  <si>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</si>
  <si>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</si>
  <si>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Железнодорожного района" МЗ 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</si>
  <si>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</si>
  <si>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</si>
  <si>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</si>
  <si>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</si>
  <si>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</si>
  <si>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</si>
  <si>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</si>
  <si>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</si>
  <si>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</si>
  <si>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</si>
  <si>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</si>
  <si>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</si>
  <si>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</si>
  <si>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</si>
  <si>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</si>
  <si>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</si>
  <si>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"Белый клен"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</si>
  <si>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</si>
  <si>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</si>
  <si>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</si>
  <si>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</si>
  <si>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</si>
  <si>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</si>
  <si>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"Хабаровский диагностический центр"</t>
  </si>
  <si>
    <t xml:space="preserve"> ООО "Стоматологический госпиталь"</t>
  </si>
  <si>
    <t>ООО "Мед-Арт"</t>
  </si>
  <si>
    <t xml:space="preserve"> ООО "Афина"</t>
  </si>
  <si>
    <t>ООО "Хабаровский центр хирургии глаза"</t>
  </si>
  <si>
    <t>ООО "ГрандСтрой"</t>
  </si>
  <si>
    <t>ООО "Дент-Арт-Восток"</t>
  </si>
  <si>
    <t>ООО "Тари Дент"</t>
  </si>
  <si>
    <t>МЧУ ДПО "НефроСовет"</t>
  </si>
  <si>
    <t>ООО "МДЦ Нефролайн"</t>
  </si>
  <si>
    <t>ООО "Эверест"</t>
  </si>
  <si>
    <t>ООО "НПФ "Хеликс"</t>
  </si>
  <si>
    <t>ООО "Виталаб"</t>
  </si>
  <si>
    <t>ООО "М-ЛАЙН"</t>
  </si>
  <si>
    <t>ООО "Нейроклиника"</t>
  </si>
  <si>
    <t>ООО "Меди"</t>
  </si>
  <si>
    <t>ООО "Наша клиника -Медицина"</t>
  </si>
  <si>
    <t xml:space="preserve">ООО " НМЦ Ситилаб" </t>
  </si>
  <si>
    <t xml:space="preserve">ООО "Ситилаб-Сибирь" </t>
  </si>
  <si>
    <t xml:space="preserve">ООО "Гемотест Восток" </t>
  </si>
  <si>
    <t>ООО "ЛУЧ"</t>
  </si>
  <si>
    <t xml:space="preserve">ООО "ЦСОИЭС" </t>
  </si>
  <si>
    <t>ООО "ЭКО-центр"</t>
  </si>
  <si>
    <t>ООО "Эмбрилайф" ЦИЭР</t>
  </si>
  <si>
    <t>ООО "ЦЕНТР ЭКО"</t>
  </si>
  <si>
    <t>ФГБОУ ВО Амурская ГМА Минздрава России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</si>
  <si>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</si>
  <si>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</si>
  <si>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</si>
  <si>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</si>
  <si>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</si>
  <si>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</si>
  <si>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</si>
  <si>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</si>
  <si>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</si>
  <si>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КГАУЗ "Комсомольская стоматологическая поликлиника" МЗХК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</si>
  <si>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</si>
  <si>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</si>
  <si>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</si>
  <si>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"Альтернатива" г.Комсомольск</t>
  </si>
  <si>
    <t xml:space="preserve">ООО "МЦ "Кедр" 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</si>
  <si>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</si>
  <si>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</si>
  <si>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</si>
  <si>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</si>
  <si>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</si>
  <si>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</si>
  <si>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</si>
  <si>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</si>
  <si>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</si>
  <si>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</si>
  <si>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</si>
  <si>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</si>
  <si>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</si>
  <si>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ИП Шамгунова Е.Н.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</si>
  <si>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</si>
  <si>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</si>
  <si>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</si>
  <si>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</si>
  <si>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</si>
  <si>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</si>
  <si>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</si>
  <si>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Приложение №9
 к протоколу Комиссии по разработке ТП ОМС 
от  11.12.2023 №12</t>
  </si>
  <si>
    <t>Итого 11.12.2023</t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</si>
  <si>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 № 5-7 к решению Комиссии от 11.12.2023  № 12</t>
    </r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</si>
  <si>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№3 к решению Комиссии от 28.11.2023 № 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</si>
</sst>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_ ;\-#,##0.00\ "/>
    <numFmt numFmtId="167" formatCode="_-* #,##0_р_._-;\-* #,##0_р_._-;_-* &quot;-&quot;??_р_._-;_-@_-"/>
    <numFmt numFmtId="168" formatCode="_-* #,##0.0000_р_._-;\-* #,##0.00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3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14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8" fillId="0" borderId="0"/>
    <xf numFmtId="0" fontId="14" fillId="0" borderId="0"/>
    <xf numFmtId="0" fontId="16" fillId="0" borderId="0"/>
    <xf numFmtId="0" fontId="14" fillId="0" borderId="0"/>
    <xf numFmtId="0" fontId="9" fillId="0" borderId="0" applyFill="0" applyBorder="0" applyProtection="0">
      <alignment wrapText="1"/>
      <protection locked="0"/>
    </xf>
    <xf numFmtId="9" fontId="2" fillId="0" borderId="0" applyFont="0" applyFill="0" applyBorder="0" applyAlignment="0" applyProtection="0"/>
    <xf numFmtId="9" fontId="14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2" applyFont="1" applyFill="1" applyAlignment="1">
      <alignment wrapText="1"/>
    </xf>
    <xf numFmtId="1" fontId="3" fillId="0" borderId="0" xfId="2" applyNumberFormat="1" applyFont="1" applyFill="1" applyAlignment="1">
      <alignment wrapText="1"/>
    </xf>
    <xf numFmtId="0" fontId="5" fillId="0" borderId="0" xfId="2" applyFont="1" applyFill="1" applyAlignment="1">
      <alignment wrapText="1"/>
    </xf>
    <xf numFmtId="0" fontId="4" fillId="0" borderId="0" xfId="3" applyFont="1" applyFill="1" applyAlignment="1">
      <alignment vertical="center" wrapText="1"/>
    </xf>
    <xf numFmtId="43" fontId="4" fillId="0" borderId="0" xfId="3" applyNumberFormat="1" applyFont="1" applyFill="1" applyAlignment="1">
      <alignment horizontal="center" vertical="center" wrapText="1"/>
    </xf>
    <xf numFmtId="43" fontId="5" fillId="0" borderId="0" xfId="2" applyNumberFormat="1" applyFont="1" applyFill="1" applyAlignment="1">
      <alignment wrapText="1"/>
    </xf>
    <xf numFmtId="0" fontId="7" fillId="0" borderId="0" xfId="4" applyFont="1" applyFill="1" applyBorder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2" applyFont="1" applyFill="1"/>
    <xf numFmtId="0" fontId="3" fillId="0" borderId="1" xfId="4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5" fillId="0" borderId="0" xfId="2" applyFont="1" applyFill="1"/>
    <xf numFmtId="0" fontId="3" fillId="0" borderId="0" xfId="2" applyFont="1" applyFill="1" applyAlignment="1">
      <alignment horizontal="right"/>
    </xf>
    <xf numFmtId="0" fontId="3" fillId="0" borderId="0" xfId="2" applyFont="1" applyFill="1" applyAlignment="1">
      <alignment horizontal="center"/>
    </xf>
    <xf numFmtId="0" fontId="10" fillId="0" borderId="2" xfId="4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" fillId="0" borderId="2" xfId="2" applyFont="1" applyFill="1" applyBorder="1"/>
    <xf numFmtId="0" fontId="3" fillId="0" borderId="2" xfId="4" applyFont="1" applyFill="1" applyBorder="1" applyAlignment="1">
      <alignment wrapText="1"/>
    </xf>
    <xf numFmtId="1" fontId="3" fillId="0" borderId="2" xfId="4" applyNumberFormat="1" applyFont="1" applyFill="1" applyBorder="1" applyAlignment="1">
      <alignment horizontal="right" wrapText="1"/>
    </xf>
    <xf numFmtId="0" fontId="3" fillId="0" borderId="2" xfId="4" applyNumberFormat="1" applyFont="1" applyFill="1" applyBorder="1" applyAlignment="1">
      <alignment horizontal="right" wrapText="1"/>
    </xf>
    <xf numFmtId="164" fontId="3" fillId="0" borderId="2" xfId="1" applyFont="1" applyFill="1" applyBorder="1"/>
    <xf numFmtId="165" fontId="3" fillId="0" borderId="2" xfId="1" applyNumberFormat="1" applyFont="1" applyFill="1" applyBorder="1"/>
    <xf numFmtId="166" fontId="3" fillId="0" borderId="2" xfId="1" applyNumberFormat="1" applyFont="1" applyFill="1" applyBorder="1"/>
    <xf numFmtId="164" fontId="5" fillId="0" borderId="2" xfId="1" applyFont="1" applyFill="1" applyBorder="1"/>
    <xf numFmtId="164" fontId="5" fillId="0" borderId="2" xfId="1" applyNumberFormat="1" applyFont="1" applyFill="1" applyBorder="1"/>
    <xf numFmtId="43" fontId="3" fillId="0" borderId="0" xfId="2" applyNumberFormat="1" applyFont="1" applyFill="1"/>
    <xf numFmtId="4" fontId="3" fillId="0" borderId="0" xfId="2" applyNumberFormat="1" applyFont="1" applyFill="1"/>
    <xf numFmtId="0" fontId="3" fillId="0" borderId="2" xfId="4" applyFont="1" applyFill="1" applyBorder="1" applyAlignment="1">
      <alignment horizontal="left" wrapText="1"/>
    </xf>
    <xf numFmtId="0" fontId="3" fillId="0" borderId="2" xfId="4" applyFont="1" applyFill="1" applyBorder="1" applyAlignment="1">
      <alignment vertical="justify" wrapText="1"/>
    </xf>
    <xf numFmtId="1" fontId="3" fillId="0" borderId="2" xfId="4" applyNumberFormat="1" applyFont="1" applyFill="1" applyBorder="1" applyAlignment="1">
      <alignment horizontal="right" vertical="justify" wrapText="1"/>
    </xf>
    <xf numFmtId="0" fontId="3" fillId="0" borderId="2" xfId="4" applyNumberFormat="1" applyFont="1" applyFill="1" applyBorder="1" applyAlignment="1">
      <alignment horizontal="right" vertical="justify" wrapText="1"/>
    </xf>
    <xf numFmtId="0" fontId="3" fillId="0" borderId="2" xfId="1" applyNumberFormat="1" applyFont="1" applyFill="1" applyBorder="1"/>
    <xf numFmtId="1" fontId="3" fillId="0" borderId="2" xfId="0" applyNumberFormat="1" applyFont="1" applyFill="1" applyBorder="1" applyAlignment="1">
      <alignment horizontal="right"/>
    </xf>
    <xf numFmtId="0" fontId="3" fillId="0" borderId="2" xfId="0" applyNumberFormat="1" applyFont="1" applyFill="1" applyBorder="1" applyAlignment="1">
      <alignment horizontal="right"/>
    </xf>
    <xf numFmtId="0" fontId="3" fillId="0" borderId="2" xfId="2" applyFont="1" applyFill="1" applyBorder="1" applyAlignment="1">
      <alignment horizontal="left" wrapText="1"/>
    </xf>
    <xf numFmtId="0" fontId="5" fillId="0" borderId="2" xfId="2" applyFont="1" applyFill="1" applyBorder="1"/>
    <xf numFmtId="14" fontId="5" fillId="0" borderId="2" xfId="4" applyNumberFormat="1" applyFont="1" applyFill="1" applyBorder="1" applyAlignment="1">
      <alignment wrapText="1"/>
    </xf>
    <xf numFmtId="1" fontId="5" fillId="0" borderId="2" xfId="4" applyNumberFormat="1" applyFont="1" applyFill="1" applyBorder="1" applyAlignment="1">
      <alignment wrapText="1"/>
    </xf>
    <xf numFmtId="0" fontId="5" fillId="0" borderId="2" xfId="4" applyFont="1" applyFill="1" applyBorder="1" applyAlignment="1">
      <alignment wrapText="1"/>
    </xf>
    <xf numFmtId="167" fontId="5" fillId="0" borderId="2" xfId="1" applyNumberFormat="1" applyFont="1" applyFill="1" applyBorder="1"/>
    <xf numFmtId="165" fontId="5" fillId="0" borderId="2" xfId="1" applyNumberFormat="1" applyFont="1" applyFill="1" applyBorder="1"/>
    <xf numFmtId="166" fontId="5" fillId="0" borderId="2" xfId="1" applyNumberFormat="1" applyFont="1" applyFill="1" applyBorder="1"/>
    <xf numFmtId="168" fontId="5" fillId="0" borderId="2" xfId="1" applyNumberFormat="1" applyFont="1" applyFill="1" applyBorder="1"/>
    <xf numFmtId="4" fontId="5" fillId="0" borderId="0" xfId="2" applyNumberFormat="1" applyFont="1" applyFill="1"/>
    <xf numFmtId="0" fontId="3" fillId="0" borderId="0" xfId="2" applyFont="1" applyFill="1" applyBorder="1"/>
    <xf numFmtId="14" fontId="3" fillId="0" borderId="0" xfId="4" applyNumberFormat="1" applyFont="1" applyFill="1" applyBorder="1" applyAlignment="1">
      <alignment wrapText="1"/>
    </xf>
    <xf numFmtId="1" fontId="3" fillId="0" borderId="0" xfId="4" applyNumberFormat="1" applyFont="1" applyFill="1" applyBorder="1" applyAlignment="1">
      <alignment wrapText="1"/>
    </xf>
    <xf numFmtId="0" fontId="3" fillId="0" borderId="0" xfId="4" applyFont="1" applyFill="1" applyBorder="1" applyAlignment="1">
      <alignment wrapText="1"/>
    </xf>
    <xf numFmtId="167" fontId="3" fillId="0" borderId="0" xfId="1" applyNumberFormat="1" applyFont="1" applyFill="1" applyBorder="1"/>
    <xf numFmtId="164" fontId="3" fillId="0" borderId="0" xfId="1" applyFont="1" applyFill="1" applyBorder="1"/>
    <xf numFmtId="164" fontId="3" fillId="0" borderId="0" xfId="1" applyNumberFormat="1" applyFont="1" applyFill="1" applyBorder="1"/>
    <xf numFmtId="166" fontId="3" fillId="0" borderId="0" xfId="1" applyNumberFormat="1" applyFont="1" applyFill="1" applyBorder="1"/>
    <xf numFmtId="0" fontId="5" fillId="0" borderId="0" xfId="2" applyFont="1" applyFill="1" applyBorder="1"/>
    <xf numFmtId="14" fontId="5" fillId="0" borderId="0" xfId="4" applyNumberFormat="1" applyFont="1" applyFill="1" applyBorder="1" applyAlignment="1">
      <alignment wrapText="1"/>
    </xf>
    <xf numFmtId="1" fontId="5" fillId="0" borderId="0" xfId="4" applyNumberFormat="1" applyFont="1" applyFill="1" applyBorder="1" applyAlignment="1">
      <alignment wrapText="1"/>
    </xf>
    <xf numFmtId="0" fontId="5" fillId="0" borderId="0" xfId="4" applyFont="1" applyFill="1" applyBorder="1" applyAlignment="1">
      <alignment wrapText="1"/>
    </xf>
    <xf numFmtId="167" fontId="5" fillId="0" borderId="0" xfId="1" applyNumberFormat="1" applyFont="1" applyFill="1" applyBorder="1"/>
    <xf numFmtId="164" fontId="5" fillId="0" borderId="0" xfId="1" applyFont="1" applyFill="1" applyBorder="1"/>
    <xf numFmtId="164" fontId="5" fillId="0" borderId="0" xfId="1" applyNumberFormat="1" applyFont="1" applyFill="1" applyBorder="1"/>
    <xf numFmtId="0" fontId="3" fillId="0" borderId="0" xfId="3" applyFont="1" applyFill="1"/>
    <xf numFmtId="0" fontId="3" fillId="0" borderId="0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vertical="center"/>
    </xf>
    <xf numFmtId="4" fontId="3" fillId="0" borderId="0" xfId="3" applyNumberFormat="1" applyFont="1" applyFill="1"/>
    <xf numFmtId="164" fontId="3" fillId="0" borderId="0" xfId="1" applyFont="1" applyFill="1"/>
    <xf numFmtId="43" fontId="3" fillId="0" borderId="0" xfId="3" applyNumberFormat="1" applyFont="1" applyFill="1"/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horizontal="center" vertical="center" wrapText="1"/>
    </xf>
    <xf numFmtId="1" fontId="3" fillId="0" borderId="2" xfId="2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1" fontId="10" fillId="0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2" xfId="4" applyFont="1" applyFill="1" applyBorder="1" applyAlignment="1">
      <alignment horizontal="center" vertical="center"/>
    </xf>
    <xf numFmtId="16" fontId="3" fillId="0" borderId="2" xfId="4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horizontal="center" vertical="center" wrapText="1"/>
    </xf>
    <xf numFmtId="0" fontId="7" fillId="0" borderId="0" xfId="4" applyFont="1" applyFill="1" applyBorder="1" applyAlignment="1">
      <alignment horizontal="right" vertical="top" wrapText="1"/>
    </xf>
    <xf numFmtId="0" fontId="17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center" wrapText="1"/>
    </xf>
    <xf numFmtId="0" fontId="18" fillId="0" borderId="0" xfId="0" applyFont="1" applyFill="1" applyAlignment="1">
      <alignment wrapText="1"/>
    </xf>
    <xf numFmtId="0" fontId="9" fillId="0" borderId="2" xfId="2" applyFont="1" applyFill="1" applyBorder="1" applyAlignment="1">
      <alignment horizontal="center" vertical="center" wrapText="1"/>
    </xf>
  </cellXfs>
  <cellStyles count="72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4" xfId="11"/>
    <cellStyle name="Обычный 2 5" xfId="12"/>
    <cellStyle name="Обычный 3" xfId="13"/>
    <cellStyle name="Обычный 3 2" xfId="14"/>
    <cellStyle name="Обычный 3 2 2" xfId="2"/>
    <cellStyle name="Обычный 3 2 3" xfId="3"/>
    <cellStyle name="Обычный 3 3" xfId="15"/>
    <cellStyle name="Обычный 3 3 2" xfId="16"/>
    <cellStyle name="Обычный 3 3 2 2" xfId="17"/>
    <cellStyle name="Обычный 3 4" xfId="18"/>
    <cellStyle name="Обычный 3 4 2" xfId="19"/>
    <cellStyle name="Обычный 3 5" xfId="20"/>
    <cellStyle name="Обычный 3 5 2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9" xfId="29"/>
    <cellStyle name="Обычный Лена" xfId="30"/>
    <cellStyle name="Обычный_Таблицы Мун.заказ Стационар" xfId="4"/>
    <cellStyle name="Процентный 2" xfId="31"/>
    <cellStyle name="Процентный 3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5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</sheetPr>
  <dimension ref="A1:AJ131"/>
  <sheetViews>
    <sheetView tabSelected="1" zoomScale="70" zoomScaleNormal="70" workbookViewId="0">
      <pane xSplit="4" ySplit="9" topLeftCell="N81" activePane="bottomRight" state="frozen"/>
      <selection activeCell="A5" sqref="A5"/>
      <selection pane="topRight" activeCell="E5" sqref="E5"/>
      <selection pane="bottomLeft" activeCell="A10" sqref="A10"/>
      <selection pane="bottomRight" activeCell="AQ8" sqref="AQ8"/>
    </sheetView>
  </sheetViews>
  <sheetFormatPr defaultColWidth="9.42578125" defaultRowHeight="18.75" x14ac:dyDescent="0.3"/>
  <cols>
    <col min="1" max="1" width="6.85546875" style="9" customWidth="1"/>
    <col min="2" max="2" width="46.28515625" style="1" customWidth="1"/>
    <col min="3" max="3" width="19.140625" style="2" hidden="1" customWidth="1"/>
    <col min="4" max="4" width="16.7109375" style="1" hidden="1" customWidth="1"/>
    <col min="5" max="5" width="11.7109375" style="1" customWidth="1"/>
    <col min="6" max="6" width="26.140625" style="9" customWidth="1"/>
    <col min="7" max="7" width="25.140625" style="9" customWidth="1"/>
    <col min="8" max="8" width="25.5703125" style="9" customWidth="1"/>
    <col min="9" max="9" width="27.85546875" style="9" customWidth="1"/>
    <col min="10" max="10" width="28.42578125" style="9" customWidth="1"/>
    <col min="11" max="13" width="26.5703125" style="9" customWidth="1"/>
    <col min="14" max="14" width="27.5703125" style="9" customWidth="1"/>
    <col min="15" max="15" width="25.28515625" style="9" customWidth="1"/>
    <col min="16" max="16" width="25.7109375" style="9" customWidth="1"/>
    <col min="17" max="18" width="25.28515625" style="9" customWidth="1"/>
    <col min="19" max="19" width="25.42578125" style="9" customWidth="1"/>
    <col min="20" max="20" width="27.5703125" style="12" customWidth="1"/>
    <col min="21" max="21" width="26.7109375" style="9" customWidth="1"/>
    <col min="22" max="22" width="30" style="9" customWidth="1"/>
    <col min="23" max="23" width="27.140625" style="9" customWidth="1"/>
    <col min="24" max="26" width="26.42578125" style="9" customWidth="1"/>
    <col min="27" max="27" width="26.5703125" style="9" customWidth="1"/>
    <col min="28" max="28" width="26.7109375" style="12" customWidth="1"/>
    <col min="29" max="30" width="26.85546875" style="9" customWidth="1"/>
    <col min="31" max="31" width="23.42578125" style="9" customWidth="1"/>
    <col min="32" max="32" width="22.28515625" style="9" customWidth="1"/>
    <col min="33" max="33" width="23.28515625" style="9" customWidth="1"/>
    <col min="34" max="34" width="21.5703125" style="9" customWidth="1"/>
    <col min="35" max="35" width="23" style="9" customWidth="1"/>
    <col min="36" max="36" width="26.28515625" style="9" customWidth="1"/>
    <col min="37" max="16384" width="9.42578125" style="9"/>
  </cols>
  <sheetData>
    <row r="1" spans="1:36" s="1" customFormat="1" x14ac:dyDescent="0.3">
      <c r="C1" s="2"/>
      <c r="I1" s="80"/>
      <c r="N1" s="81" t="s">
        <v>179</v>
      </c>
      <c r="O1" s="81"/>
      <c r="P1" s="81"/>
      <c r="Q1" s="81"/>
      <c r="R1" s="67"/>
      <c r="T1" s="3"/>
      <c r="V1" s="80"/>
      <c r="W1" s="66"/>
      <c r="X1" s="66"/>
      <c r="Y1" s="66"/>
      <c r="Z1" s="66"/>
      <c r="AB1" s="4"/>
      <c r="AC1" s="82"/>
      <c r="AD1" s="82"/>
      <c r="AE1" s="82"/>
      <c r="AF1" s="82"/>
      <c r="AG1" s="82"/>
      <c r="AH1" s="82"/>
      <c r="AI1" s="83"/>
      <c r="AJ1" s="83"/>
    </row>
    <row r="2" spans="1:36" s="1" customFormat="1" x14ac:dyDescent="0.3">
      <c r="C2" s="2"/>
      <c r="I2" s="80"/>
      <c r="N2" s="81"/>
      <c r="O2" s="81"/>
      <c r="P2" s="81"/>
      <c r="Q2" s="81"/>
      <c r="R2" s="5"/>
      <c r="T2" s="6"/>
      <c r="V2" s="80"/>
      <c r="W2" s="66"/>
      <c r="X2" s="66"/>
      <c r="Y2" s="66"/>
      <c r="Z2" s="66"/>
      <c r="AB2" s="4"/>
      <c r="AJ2" s="7"/>
    </row>
    <row r="3" spans="1:36" s="1" customFormat="1" x14ac:dyDescent="0.3">
      <c r="C3" s="2"/>
      <c r="N3" s="81"/>
      <c r="O3" s="81"/>
      <c r="P3" s="81"/>
      <c r="Q3" s="81"/>
      <c r="R3" s="67"/>
      <c r="T3" s="3"/>
      <c r="V3" s="8"/>
      <c r="W3" s="8"/>
      <c r="X3" s="8"/>
      <c r="Y3" s="8"/>
      <c r="Z3" s="8"/>
      <c r="AB3" s="4"/>
      <c r="AC3" s="4"/>
      <c r="AD3" s="4"/>
      <c r="AE3" s="4"/>
      <c r="AF3" s="4"/>
      <c r="AG3" s="4"/>
      <c r="AH3" s="4"/>
      <c r="AI3" s="4"/>
      <c r="AJ3" s="4"/>
    </row>
    <row r="4" spans="1:36" x14ac:dyDescent="0.3">
      <c r="B4" s="84" t="s">
        <v>0</v>
      </c>
      <c r="C4" s="84"/>
      <c r="D4" s="84"/>
      <c r="E4" s="84"/>
      <c r="F4" s="84"/>
      <c r="G4" s="84"/>
      <c r="H4" s="84"/>
      <c r="I4" s="84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</row>
    <row r="5" spans="1:36" ht="19.7" customHeight="1" x14ac:dyDescent="0.3">
      <c r="I5" s="10"/>
      <c r="S5" s="10"/>
      <c r="T5" s="11"/>
      <c r="W5" s="9" t="s">
        <v>1</v>
      </c>
      <c r="Y5" s="9" t="s">
        <v>2</v>
      </c>
      <c r="Z5" s="9" t="s">
        <v>3</v>
      </c>
      <c r="AA5" s="9" t="s">
        <v>4</v>
      </c>
      <c r="AJ5" s="13" t="s">
        <v>5</v>
      </c>
    </row>
    <row r="6" spans="1:36" s="14" customFormat="1" ht="47.45" customHeight="1" x14ac:dyDescent="0.3">
      <c r="A6" s="74" t="s">
        <v>6</v>
      </c>
      <c r="B6" s="76" t="s">
        <v>7</v>
      </c>
      <c r="C6" s="68"/>
      <c r="D6" s="76" t="s">
        <v>8</v>
      </c>
      <c r="E6" s="86" t="s">
        <v>9</v>
      </c>
      <c r="F6" s="74" t="s">
        <v>10</v>
      </c>
      <c r="G6" s="79" t="s">
        <v>11</v>
      </c>
      <c r="H6" s="74" t="s">
        <v>12</v>
      </c>
      <c r="I6" s="74" t="s">
        <v>13</v>
      </c>
      <c r="J6" s="74" t="s">
        <v>14</v>
      </c>
      <c r="K6" s="78" t="s">
        <v>15</v>
      </c>
      <c r="L6" s="78" t="s">
        <v>16</v>
      </c>
      <c r="M6" s="74" t="s">
        <v>17</v>
      </c>
      <c r="N6" s="74" t="s">
        <v>18</v>
      </c>
      <c r="O6" s="74" t="s">
        <v>19</v>
      </c>
      <c r="P6" s="74" t="s">
        <v>20</v>
      </c>
      <c r="Q6" s="74" t="s">
        <v>21</v>
      </c>
      <c r="R6" s="74" t="s">
        <v>22</v>
      </c>
      <c r="S6" s="74" t="s">
        <v>23</v>
      </c>
      <c r="T6" s="75" t="s">
        <v>24</v>
      </c>
      <c r="U6" s="76" t="s">
        <v>25</v>
      </c>
      <c r="V6" s="74" t="s">
        <v>26</v>
      </c>
      <c r="W6" s="74" t="s">
        <v>27</v>
      </c>
      <c r="X6" s="74" t="s">
        <v>28</v>
      </c>
      <c r="Y6" s="74" t="s">
        <v>29</v>
      </c>
      <c r="Z6" s="74" t="s">
        <v>30</v>
      </c>
      <c r="AA6" s="74" t="s">
        <v>31</v>
      </c>
      <c r="AB6" s="75" t="s">
        <v>32</v>
      </c>
      <c r="AC6" s="74" t="s">
        <v>33</v>
      </c>
      <c r="AD6" s="73" t="s">
        <v>34</v>
      </c>
      <c r="AE6" s="74" t="s">
        <v>35</v>
      </c>
      <c r="AF6" s="74" t="s">
        <v>36</v>
      </c>
      <c r="AG6" s="74" t="s">
        <v>37</v>
      </c>
      <c r="AH6" s="74" t="s">
        <v>38</v>
      </c>
      <c r="AI6" s="74" t="s">
        <v>39</v>
      </c>
      <c r="AJ6" s="75" t="s">
        <v>40</v>
      </c>
    </row>
    <row r="7" spans="1:36" s="14" customFormat="1" ht="145.9" customHeight="1" x14ac:dyDescent="0.3">
      <c r="A7" s="74"/>
      <c r="B7" s="76"/>
      <c r="C7" s="68"/>
      <c r="D7" s="76"/>
      <c r="E7" s="86"/>
      <c r="F7" s="74"/>
      <c r="G7" s="79"/>
      <c r="H7" s="74"/>
      <c r="I7" s="74"/>
      <c r="J7" s="74"/>
      <c r="K7" s="78"/>
      <c r="L7" s="78"/>
      <c r="M7" s="74"/>
      <c r="N7" s="74"/>
      <c r="O7" s="74"/>
      <c r="P7" s="74"/>
      <c r="Q7" s="74"/>
      <c r="R7" s="74"/>
      <c r="S7" s="74"/>
      <c r="T7" s="75"/>
      <c r="U7" s="76"/>
      <c r="V7" s="74"/>
      <c r="W7" s="74"/>
      <c r="X7" s="74"/>
      <c r="Y7" s="74"/>
      <c r="Z7" s="74"/>
      <c r="AA7" s="74"/>
      <c r="AB7" s="75"/>
      <c r="AC7" s="74"/>
      <c r="AD7" s="73"/>
      <c r="AE7" s="74"/>
      <c r="AF7" s="74"/>
      <c r="AG7" s="74"/>
      <c r="AH7" s="74"/>
      <c r="AI7" s="74"/>
      <c r="AJ7" s="75"/>
    </row>
    <row r="8" spans="1:36" s="16" customFormat="1" ht="68.45" customHeight="1" x14ac:dyDescent="0.3">
      <c r="A8" s="15"/>
      <c r="B8" s="69"/>
      <c r="C8" s="70"/>
      <c r="D8" s="69"/>
      <c r="E8" s="69"/>
      <c r="F8" s="69" t="s">
        <v>41</v>
      </c>
      <c r="G8" s="69" t="s">
        <v>42</v>
      </c>
      <c r="H8" s="69" t="s">
        <v>43</v>
      </c>
      <c r="I8" s="69" t="s">
        <v>44</v>
      </c>
      <c r="J8" s="69" t="s">
        <v>45</v>
      </c>
      <c r="K8" s="69" t="s">
        <v>46</v>
      </c>
      <c r="L8" s="69" t="s">
        <v>47</v>
      </c>
      <c r="M8" s="69" t="s">
        <v>48</v>
      </c>
      <c r="N8" s="69" t="s">
        <v>49</v>
      </c>
      <c r="O8" s="69" t="s">
        <v>50</v>
      </c>
      <c r="P8" s="69" t="s">
        <v>51</v>
      </c>
      <c r="Q8" s="69" t="s">
        <v>52</v>
      </c>
      <c r="R8" s="69" t="s">
        <v>53</v>
      </c>
      <c r="S8" s="69" t="s">
        <v>54</v>
      </c>
      <c r="T8" s="71" t="s">
        <v>55</v>
      </c>
      <c r="U8" s="15" t="s">
        <v>56</v>
      </c>
      <c r="V8" s="15" t="s">
        <v>57</v>
      </c>
      <c r="W8" s="69" t="s">
        <v>58</v>
      </c>
      <c r="X8" s="72" t="s">
        <v>59</v>
      </c>
      <c r="Y8" s="69" t="s">
        <v>60</v>
      </c>
      <c r="Z8" s="69" t="s">
        <v>61</v>
      </c>
      <c r="AA8" s="15" t="s">
        <v>62</v>
      </c>
      <c r="AB8" s="72" t="s">
        <v>56</v>
      </c>
      <c r="AC8" s="69" t="s">
        <v>63</v>
      </c>
      <c r="AD8" s="69" t="s">
        <v>64</v>
      </c>
      <c r="AE8" s="69"/>
      <c r="AF8" s="69"/>
      <c r="AG8" s="69"/>
      <c r="AH8" s="69"/>
      <c r="AI8" s="69"/>
      <c r="AJ8" s="71" t="s">
        <v>65</v>
      </c>
    </row>
    <row r="9" spans="1:36" s="16" customFormat="1" ht="19.5" x14ac:dyDescent="0.3">
      <c r="A9" s="15"/>
      <c r="B9" s="69"/>
      <c r="C9" s="70">
        <v>1</v>
      </c>
      <c r="D9" s="70">
        <f>C9+1</f>
        <v>2</v>
      </c>
      <c r="E9" s="70">
        <f t="shared" ref="E9:T9" si="0">D9+1</f>
        <v>3</v>
      </c>
      <c r="F9" s="70">
        <f t="shared" si="0"/>
        <v>4</v>
      </c>
      <c r="G9" s="70">
        <f t="shared" si="0"/>
        <v>5</v>
      </c>
      <c r="H9" s="70">
        <f t="shared" si="0"/>
        <v>6</v>
      </c>
      <c r="I9" s="70">
        <f t="shared" si="0"/>
        <v>7</v>
      </c>
      <c r="J9" s="70">
        <f t="shared" si="0"/>
        <v>8</v>
      </c>
      <c r="K9" s="70">
        <f t="shared" si="0"/>
        <v>9</v>
      </c>
      <c r="L9" s="70">
        <f t="shared" si="0"/>
        <v>10</v>
      </c>
      <c r="M9" s="70">
        <f t="shared" si="0"/>
        <v>11</v>
      </c>
      <c r="N9" s="70">
        <f t="shared" si="0"/>
        <v>12</v>
      </c>
      <c r="O9" s="70">
        <f t="shared" si="0"/>
        <v>13</v>
      </c>
      <c r="P9" s="70">
        <f t="shared" si="0"/>
        <v>14</v>
      </c>
      <c r="Q9" s="70">
        <f t="shared" si="0"/>
        <v>15</v>
      </c>
      <c r="R9" s="70">
        <f t="shared" si="0"/>
        <v>16</v>
      </c>
      <c r="S9" s="70">
        <f t="shared" si="0"/>
        <v>17</v>
      </c>
      <c r="T9" s="70">
        <f t="shared" si="0"/>
        <v>18</v>
      </c>
      <c r="U9" s="15"/>
      <c r="V9" s="15"/>
      <c r="W9" s="69"/>
      <c r="X9" s="72"/>
      <c r="Y9" s="69"/>
      <c r="Z9" s="69"/>
      <c r="AA9" s="15"/>
      <c r="AB9" s="72"/>
      <c r="AC9" s="69"/>
      <c r="AD9" s="69"/>
      <c r="AE9" s="69"/>
      <c r="AF9" s="69"/>
      <c r="AG9" s="69"/>
      <c r="AH9" s="69"/>
      <c r="AI9" s="69"/>
      <c r="AJ9" s="71"/>
    </row>
    <row r="10" spans="1:36" ht="56.25" x14ac:dyDescent="0.3">
      <c r="A10" s="17">
        <v>1</v>
      </c>
      <c r="B10" s="18" t="s">
        <v>66</v>
      </c>
      <c r="C10" s="19">
        <v>270005</v>
      </c>
      <c r="D10" s="20">
        <v>352001</v>
      </c>
      <c r="E10" s="20"/>
      <c r="F10" s="21">
        <f>G10+H10</f>
        <v>0</v>
      </c>
      <c r="G10" s="21"/>
      <c r="H10" s="22"/>
      <c r="I10" s="21">
        <f t="shared" ref="I10:I73" si="1">N10+O10+J10</f>
        <v>137279532.08994114</v>
      </c>
      <c r="J10" s="21">
        <f>K10+L10+M10</f>
        <v>0</v>
      </c>
      <c r="K10" s="21"/>
      <c r="L10" s="21"/>
      <c r="M10" s="21"/>
      <c r="N10" s="21">
        <v>58802962.659941129</v>
      </c>
      <c r="O10" s="21">
        <f t="shared" ref="O10:O73" si="2">P10+Q10+R10</f>
        <v>78476569.430000007</v>
      </c>
      <c r="P10" s="21">
        <v>49890754.43</v>
      </c>
      <c r="Q10" s="21">
        <v>28585815</v>
      </c>
      <c r="R10" s="21"/>
      <c r="S10" s="23"/>
      <c r="T10" s="24">
        <f t="shared" ref="T10:T30" si="3">F10+I10+S10</f>
        <v>137279532.08994114</v>
      </c>
      <c r="U10" s="21">
        <f>V10+AA10</f>
        <v>2030710963.7627773</v>
      </c>
      <c r="V10" s="21">
        <f>W10+X10</f>
        <v>1515847770.9267774</v>
      </c>
      <c r="W10" s="21">
        <v>1337033663.5107174</v>
      </c>
      <c r="X10" s="24">
        <f t="shared" ref="X10:X73" si="4">Y10+Z10</f>
        <v>178814107.41606003</v>
      </c>
      <c r="Y10" s="21">
        <v>125247778.83453605</v>
      </c>
      <c r="Z10" s="21">
        <v>53566328.581524</v>
      </c>
      <c r="AA10" s="21">
        <v>514863192.83600008</v>
      </c>
      <c r="AB10" s="24">
        <f>W10+AA10</f>
        <v>1851896856.3467174</v>
      </c>
      <c r="AC10" s="21"/>
      <c r="AD10" s="21"/>
      <c r="AE10" s="21"/>
      <c r="AF10" s="21"/>
      <c r="AG10" s="21"/>
      <c r="AH10" s="21"/>
      <c r="AI10" s="21">
        <v>203091388.59999999</v>
      </c>
      <c r="AJ10" s="25">
        <f t="shared" ref="AJ10:AJ73" si="5">T10+U10+AC10+AI10</f>
        <v>2371081884.4527183</v>
      </c>
    </row>
    <row r="11" spans="1:36" ht="56.25" x14ac:dyDescent="0.3">
      <c r="A11" s="17">
        <f t="shared" ref="A11:A74" si="6">A10+1</f>
        <v>2</v>
      </c>
      <c r="B11" s="18" t="s">
        <v>67</v>
      </c>
      <c r="C11" s="19">
        <v>270004</v>
      </c>
      <c r="D11" s="20">
        <v>310001</v>
      </c>
      <c r="E11" s="20"/>
      <c r="F11" s="21">
        <f t="shared" ref="F11:F74" si="7">G11+H11</f>
        <v>0</v>
      </c>
      <c r="G11" s="21"/>
      <c r="H11" s="22"/>
      <c r="I11" s="21">
        <f t="shared" si="1"/>
        <v>92195253.054446995</v>
      </c>
      <c r="J11" s="21">
        <f t="shared" ref="J11:J74" si="8">K11+L11+M11</f>
        <v>0</v>
      </c>
      <c r="K11" s="21"/>
      <c r="L11" s="21"/>
      <c r="M11" s="21"/>
      <c r="N11" s="21">
        <v>26801617.554446992</v>
      </c>
      <c r="O11" s="21">
        <f t="shared" si="2"/>
        <v>65393635.5</v>
      </c>
      <c r="P11" s="21">
        <v>14154910.5</v>
      </c>
      <c r="Q11" s="21">
        <v>51238725</v>
      </c>
      <c r="R11" s="21"/>
      <c r="S11" s="23"/>
      <c r="T11" s="24">
        <f t="shared" si="3"/>
        <v>92195253.054446995</v>
      </c>
      <c r="U11" s="21">
        <f t="shared" ref="U11:U74" si="9">V11+AA11</f>
        <v>1616425625.2210131</v>
      </c>
      <c r="V11" s="21">
        <f t="shared" ref="V11:V74" si="10">W11+X11</f>
        <v>1112532176.9210129</v>
      </c>
      <c r="W11" s="21">
        <v>1104342840.9410129</v>
      </c>
      <c r="X11" s="24">
        <f t="shared" si="4"/>
        <v>8189335.9799999995</v>
      </c>
      <c r="Y11" s="21">
        <v>8189335.9799999995</v>
      </c>
      <c r="Z11" s="21"/>
      <c r="AA11" s="21">
        <v>503893448.30000007</v>
      </c>
      <c r="AB11" s="24">
        <f t="shared" ref="AB11:AB74" si="11">W11+AA11</f>
        <v>1608236289.2410131</v>
      </c>
      <c r="AC11" s="21"/>
      <c r="AD11" s="21"/>
      <c r="AE11" s="21"/>
      <c r="AF11" s="21"/>
      <c r="AG11" s="21"/>
      <c r="AH11" s="21"/>
      <c r="AI11" s="21">
        <v>2446959.6999999997</v>
      </c>
      <c r="AJ11" s="25">
        <f t="shared" si="5"/>
        <v>1711067837.9754601</v>
      </c>
    </row>
    <row r="12" spans="1:36" ht="37.5" x14ac:dyDescent="0.3">
      <c r="A12" s="17">
        <f t="shared" si="6"/>
        <v>3</v>
      </c>
      <c r="B12" s="18" t="s">
        <v>68</v>
      </c>
      <c r="C12" s="19">
        <v>270007</v>
      </c>
      <c r="D12" s="20">
        <v>252002</v>
      </c>
      <c r="E12" s="20">
        <v>1</v>
      </c>
      <c r="F12" s="21">
        <f t="shared" si="7"/>
        <v>0</v>
      </c>
      <c r="G12" s="21"/>
      <c r="H12" s="22"/>
      <c r="I12" s="21">
        <f t="shared" si="1"/>
        <v>95232210.033089668</v>
      </c>
      <c r="J12" s="21">
        <f t="shared" si="8"/>
        <v>0</v>
      </c>
      <c r="K12" s="21"/>
      <c r="L12" s="21"/>
      <c r="M12" s="21"/>
      <c r="N12" s="21">
        <f>64668285.7730897-60016.84</f>
        <v>64608268.933089696</v>
      </c>
      <c r="O12" s="21">
        <f t="shared" si="2"/>
        <v>30623941.099999979</v>
      </c>
      <c r="P12" s="21">
        <v>27172069.099999979</v>
      </c>
      <c r="Q12" s="21">
        <v>3451872</v>
      </c>
      <c r="R12" s="21"/>
      <c r="S12" s="23"/>
      <c r="T12" s="24">
        <f>F12+I12+S12</f>
        <v>95232210.033089668</v>
      </c>
      <c r="U12" s="21">
        <f t="shared" si="9"/>
        <v>936620477.62980986</v>
      </c>
      <c r="V12" s="21">
        <f t="shared" si="10"/>
        <v>920513536.88980985</v>
      </c>
      <c r="W12" s="21">
        <v>762078849.82508099</v>
      </c>
      <c r="X12" s="24">
        <f t="shared" si="4"/>
        <v>158434687.0647288</v>
      </c>
      <c r="Y12" s="21">
        <v>140160972.58472881</v>
      </c>
      <c r="Z12" s="21">
        <v>18273714.48</v>
      </c>
      <c r="AA12" s="21">
        <v>16106940.739999998</v>
      </c>
      <c r="AB12" s="24">
        <f t="shared" si="11"/>
        <v>778185790.565081</v>
      </c>
      <c r="AC12" s="21"/>
      <c r="AD12" s="21"/>
      <c r="AE12" s="21"/>
      <c r="AF12" s="21"/>
      <c r="AG12" s="21"/>
      <c r="AH12" s="21"/>
      <c r="AI12" s="21">
        <v>1431910.17</v>
      </c>
      <c r="AJ12" s="25">
        <f t="shared" si="5"/>
        <v>1033284597.8328995</v>
      </c>
    </row>
    <row r="13" spans="1:36" ht="56.25" x14ac:dyDescent="0.3">
      <c r="A13" s="17">
        <f t="shared" si="6"/>
        <v>4</v>
      </c>
      <c r="B13" s="18" t="s">
        <v>69</v>
      </c>
      <c r="C13" s="19">
        <v>270148</v>
      </c>
      <c r="D13" s="20">
        <v>252001</v>
      </c>
      <c r="E13" s="20"/>
      <c r="F13" s="21">
        <f t="shared" si="7"/>
        <v>0</v>
      </c>
      <c r="G13" s="21"/>
      <c r="H13" s="22"/>
      <c r="I13" s="21">
        <f t="shared" si="1"/>
        <v>97695556.920374542</v>
      </c>
      <c r="J13" s="21">
        <f t="shared" si="8"/>
        <v>0</v>
      </c>
      <c r="K13" s="21"/>
      <c r="L13" s="21"/>
      <c r="M13" s="21"/>
      <c r="N13" s="21">
        <v>11815227.420374541</v>
      </c>
      <c r="O13" s="21">
        <f t="shared" si="2"/>
        <v>85880329.5</v>
      </c>
      <c r="P13" s="21">
        <v>41653219.5</v>
      </c>
      <c r="Q13" s="21">
        <v>44227110</v>
      </c>
      <c r="R13" s="21"/>
      <c r="S13" s="23"/>
      <c r="T13" s="24">
        <f t="shared" si="3"/>
        <v>97695556.920374542</v>
      </c>
      <c r="U13" s="21">
        <f t="shared" si="9"/>
        <v>709933422.57555342</v>
      </c>
      <c r="V13" s="21">
        <f t="shared" si="10"/>
        <v>687327209.16755342</v>
      </c>
      <c r="W13" s="21">
        <v>604110728.40755343</v>
      </c>
      <c r="X13" s="24">
        <f t="shared" si="4"/>
        <v>83216480.75999999</v>
      </c>
      <c r="Y13" s="21">
        <v>72429089.039999992</v>
      </c>
      <c r="Z13" s="21">
        <v>10787391.719999999</v>
      </c>
      <c r="AA13" s="21">
        <v>22606213.408</v>
      </c>
      <c r="AB13" s="24">
        <f t="shared" si="11"/>
        <v>626716941.81555343</v>
      </c>
      <c r="AC13" s="21"/>
      <c r="AD13" s="21"/>
      <c r="AE13" s="21"/>
      <c r="AF13" s="21"/>
      <c r="AG13" s="21"/>
      <c r="AH13" s="21"/>
      <c r="AI13" s="21">
        <v>1009079.95</v>
      </c>
      <c r="AJ13" s="25">
        <f t="shared" si="5"/>
        <v>808638059.44592798</v>
      </c>
    </row>
    <row r="14" spans="1:36" ht="37.5" x14ac:dyDescent="0.3">
      <c r="A14" s="17">
        <f t="shared" si="6"/>
        <v>5</v>
      </c>
      <c r="B14" s="28" t="s">
        <v>70</v>
      </c>
      <c r="C14" s="19">
        <v>270008</v>
      </c>
      <c r="D14" s="20">
        <v>351001</v>
      </c>
      <c r="E14" s="20"/>
      <c r="F14" s="21">
        <f t="shared" si="7"/>
        <v>0</v>
      </c>
      <c r="G14" s="21"/>
      <c r="H14" s="22"/>
      <c r="I14" s="21">
        <f t="shared" si="1"/>
        <v>404532349.60615206</v>
      </c>
      <c r="J14" s="21">
        <f t="shared" si="8"/>
        <v>0</v>
      </c>
      <c r="K14" s="21"/>
      <c r="L14" s="21"/>
      <c r="M14" s="21"/>
      <c r="N14" s="21">
        <f>354098085.666152+16230709.6</f>
        <v>370328795.26615202</v>
      </c>
      <c r="O14" s="21">
        <f t="shared" si="2"/>
        <v>34203554.340000004</v>
      </c>
      <c r="P14" s="21">
        <f>33891273.84+312280.5</f>
        <v>34203554.340000004</v>
      </c>
      <c r="Q14" s="21">
        <v>0</v>
      </c>
      <c r="R14" s="21"/>
      <c r="S14" s="23"/>
      <c r="T14" s="24">
        <f t="shared" si="3"/>
        <v>404532349.60615206</v>
      </c>
      <c r="U14" s="21">
        <f t="shared" si="9"/>
        <v>2000613128.7565272</v>
      </c>
      <c r="V14" s="21">
        <f>W14+X14</f>
        <v>1930691141.0365272</v>
      </c>
      <c r="W14" s="21">
        <v>951859009.83963072</v>
      </c>
      <c r="X14" s="24">
        <f t="shared" si="4"/>
        <v>978832131.19689631</v>
      </c>
      <c r="Y14" s="21">
        <v>407236958.92540801</v>
      </c>
      <c r="Z14" s="21">
        <v>571595172.27148831</v>
      </c>
      <c r="AA14" s="21">
        <v>69921987.720000014</v>
      </c>
      <c r="AB14" s="24">
        <f t="shared" si="11"/>
        <v>1021780997.5596308</v>
      </c>
      <c r="AC14" s="21"/>
      <c r="AD14" s="21"/>
      <c r="AE14" s="21"/>
      <c r="AF14" s="21"/>
      <c r="AG14" s="21"/>
      <c r="AH14" s="21"/>
      <c r="AI14" s="21"/>
      <c r="AJ14" s="25">
        <f t="shared" si="5"/>
        <v>2405145478.3626795</v>
      </c>
    </row>
    <row r="15" spans="1:36" ht="56.25" x14ac:dyDescent="0.3">
      <c r="A15" s="17">
        <f t="shared" si="6"/>
        <v>6</v>
      </c>
      <c r="B15" s="28" t="s">
        <v>71</v>
      </c>
      <c r="C15" s="19">
        <v>270002</v>
      </c>
      <c r="D15" s="20">
        <v>301001</v>
      </c>
      <c r="E15" s="20">
        <v>1</v>
      </c>
      <c r="F15" s="21">
        <f t="shared" si="7"/>
        <v>0</v>
      </c>
      <c r="G15" s="21"/>
      <c r="H15" s="22"/>
      <c r="I15" s="21">
        <f t="shared" si="1"/>
        <v>360168575.97649699</v>
      </c>
      <c r="J15" s="21">
        <f t="shared" si="8"/>
        <v>0</v>
      </c>
      <c r="K15" s="21"/>
      <c r="L15" s="21"/>
      <c r="M15" s="21"/>
      <c r="N15" s="21">
        <f>229751587.406497+2146711.54-1616820.51+241844.37</f>
        <v>230523322.80649701</v>
      </c>
      <c r="O15" s="21">
        <f t="shared" si="2"/>
        <v>129645253.16999999</v>
      </c>
      <c r="P15" s="21">
        <f>134162288.97-2999152.18-522567.7-753471.55-241844.37</f>
        <v>129645253.16999999</v>
      </c>
      <c r="Q15" s="21">
        <v>0</v>
      </c>
      <c r="R15" s="21"/>
      <c r="S15" s="23"/>
      <c r="T15" s="24">
        <f t="shared" si="3"/>
        <v>360168575.97649699</v>
      </c>
      <c r="U15" s="21">
        <f t="shared" si="9"/>
        <v>84485313.359999985</v>
      </c>
      <c r="V15" s="21">
        <f t="shared" si="10"/>
        <v>84485313.359999985</v>
      </c>
      <c r="W15" s="21"/>
      <c r="X15" s="24">
        <f t="shared" si="4"/>
        <v>84485313.359999985</v>
      </c>
      <c r="Y15" s="21"/>
      <c r="Z15" s="21">
        <v>84485313.359999985</v>
      </c>
      <c r="AA15" s="21"/>
      <c r="AB15" s="24">
        <f t="shared" si="11"/>
        <v>0</v>
      </c>
      <c r="AC15" s="21"/>
      <c r="AD15" s="21"/>
      <c r="AE15" s="21"/>
      <c r="AF15" s="21"/>
      <c r="AG15" s="21"/>
      <c r="AH15" s="21"/>
      <c r="AI15" s="21"/>
      <c r="AJ15" s="25">
        <f t="shared" si="5"/>
        <v>444653889.33649695</v>
      </c>
    </row>
    <row r="16" spans="1:36" ht="56.25" x14ac:dyDescent="0.3">
      <c r="A16" s="17">
        <f t="shared" si="6"/>
        <v>7</v>
      </c>
      <c r="B16" s="28" t="s">
        <v>72</v>
      </c>
      <c r="C16" s="19">
        <v>270003</v>
      </c>
      <c r="D16" s="20">
        <v>301003</v>
      </c>
      <c r="E16" s="20"/>
      <c r="F16" s="21">
        <f t="shared" si="7"/>
        <v>0</v>
      </c>
      <c r="G16" s="21"/>
      <c r="H16" s="22"/>
      <c r="I16" s="21">
        <f t="shared" si="1"/>
        <v>93494173.170000002</v>
      </c>
      <c r="J16" s="21">
        <f t="shared" si="8"/>
        <v>0</v>
      </c>
      <c r="K16" s="21"/>
      <c r="L16" s="21"/>
      <c r="M16" s="21"/>
      <c r="N16" s="21">
        <v>0</v>
      </c>
      <c r="O16" s="21">
        <f t="shared" si="2"/>
        <v>93494173.170000002</v>
      </c>
      <c r="P16" s="21">
        <f>90507204.75+2986968.42</f>
        <v>93494173.170000002</v>
      </c>
      <c r="Q16" s="21">
        <v>0</v>
      </c>
      <c r="R16" s="21"/>
      <c r="S16" s="23"/>
      <c r="T16" s="24">
        <f t="shared" si="3"/>
        <v>93494173.170000002</v>
      </c>
      <c r="U16" s="21">
        <f t="shared" si="9"/>
        <v>90287013.599999994</v>
      </c>
      <c r="V16" s="21">
        <f t="shared" si="10"/>
        <v>90287013.599999994</v>
      </c>
      <c r="W16" s="21"/>
      <c r="X16" s="24">
        <f t="shared" si="4"/>
        <v>90287013.599999994</v>
      </c>
      <c r="Y16" s="21"/>
      <c r="Z16" s="21">
        <v>90287013.599999994</v>
      </c>
      <c r="AA16" s="21"/>
      <c r="AB16" s="24">
        <f t="shared" si="11"/>
        <v>0</v>
      </c>
      <c r="AC16" s="21"/>
      <c r="AD16" s="21"/>
      <c r="AE16" s="21"/>
      <c r="AF16" s="21"/>
      <c r="AG16" s="21"/>
      <c r="AH16" s="21"/>
      <c r="AI16" s="21"/>
      <c r="AJ16" s="25">
        <f t="shared" si="5"/>
        <v>183781186.76999998</v>
      </c>
    </row>
    <row r="17" spans="1:36" x14ac:dyDescent="0.3">
      <c r="A17" s="17">
        <f t="shared" si="6"/>
        <v>8</v>
      </c>
      <c r="B17" s="28" t="s">
        <v>73</v>
      </c>
      <c r="C17" s="19">
        <v>270014</v>
      </c>
      <c r="D17" s="20">
        <v>307003</v>
      </c>
      <c r="E17" s="20"/>
      <c r="F17" s="21">
        <f t="shared" si="7"/>
        <v>0</v>
      </c>
      <c r="G17" s="21"/>
      <c r="H17" s="22"/>
      <c r="I17" s="21">
        <f t="shared" si="1"/>
        <v>76193896.799999997</v>
      </c>
      <c r="J17" s="21">
        <f t="shared" si="8"/>
        <v>0</v>
      </c>
      <c r="K17" s="21"/>
      <c r="L17" s="21"/>
      <c r="M17" s="21"/>
      <c r="N17" s="21">
        <v>0</v>
      </c>
      <c r="O17" s="21">
        <f t="shared" si="2"/>
        <v>76193896.799999997</v>
      </c>
      <c r="P17" s="21">
        <v>76193896.799999997</v>
      </c>
      <c r="Q17" s="21">
        <v>0</v>
      </c>
      <c r="R17" s="21"/>
      <c r="S17" s="23"/>
      <c r="T17" s="24">
        <f t="shared" si="3"/>
        <v>76193896.799999997</v>
      </c>
      <c r="U17" s="21">
        <f t="shared" si="9"/>
        <v>0</v>
      </c>
      <c r="V17" s="21">
        <f t="shared" si="10"/>
        <v>0</v>
      </c>
      <c r="W17" s="21"/>
      <c r="X17" s="24">
        <f t="shared" si="4"/>
        <v>0</v>
      </c>
      <c r="Y17" s="21"/>
      <c r="Z17" s="21"/>
      <c r="AA17" s="21"/>
      <c r="AB17" s="24">
        <f t="shared" si="11"/>
        <v>0</v>
      </c>
      <c r="AC17" s="21"/>
      <c r="AD17" s="21"/>
      <c r="AE17" s="21"/>
      <c r="AF17" s="21"/>
      <c r="AG17" s="21"/>
      <c r="AH17" s="21"/>
      <c r="AI17" s="21"/>
      <c r="AJ17" s="25">
        <f t="shared" si="5"/>
        <v>76193896.799999997</v>
      </c>
    </row>
    <row r="18" spans="1:36" ht="37.5" x14ac:dyDescent="0.3">
      <c r="A18" s="17">
        <f t="shared" si="6"/>
        <v>9</v>
      </c>
      <c r="B18" s="28" t="s">
        <v>74</v>
      </c>
      <c r="C18" s="19">
        <v>270006</v>
      </c>
      <c r="D18" s="20">
        <v>307002</v>
      </c>
      <c r="E18" s="20"/>
      <c r="F18" s="21">
        <f t="shared" si="7"/>
        <v>0</v>
      </c>
      <c r="G18" s="21"/>
      <c r="H18" s="22"/>
      <c r="I18" s="21">
        <f t="shared" si="1"/>
        <v>86970800</v>
      </c>
      <c r="J18" s="21">
        <f t="shared" si="8"/>
        <v>0</v>
      </c>
      <c r="K18" s="21"/>
      <c r="L18" s="21"/>
      <c r="M18" s="21"/>
      <c r="N18" s="21">
        <v>0</v>
      </c>
      <c r="O18" s="21">
        <f t="shared" si="2"/>
        <v>86970800</v>
      </c>
      <c r="P18" s="21">
        <v>86970800</v>
      </c>
      <c r="Q18" s="21">
        <v>0</v>
      </c>
      <c r="R18" s="21"/>
      <c r="S18" s="23"/>
      <c r="T18" s="24">
        <f t="shared" si="3"/>
        <v>86970800</v>
      </c>
      <c r="U18" s="21">
        <f t="shared" si="9"/>
        <v>0</v>
      </c>
      <c r="V18" s="21">
        <f t="shared" si="10"/>
        <v>0</v>
      </c>
      <c r="W18" s="21"/>
      <c r="X18" s="24">
        <f t="shared" si="4"/>
        <v>0</v>
      </c>
      <c r="Y18" s="21"/>
      <c r="Z18" s="21"/>
      <c r="AA18" s="21"/>
      <c r="AB18" s="24">
        <f t="shared" si="11"/>
        <v>0</v>
      </c>
      <c r="AC18" s="21"/>
      <c r="AD18" s="21"/>
      <c r="AE18" s="21"/>
      <c r="AF18" s="21"/>
      <c r="AG18" s="21"/>
      <c r="AH18" s="21"/>
      <c r="AI18" s="21"/>
      <c r="AJ18" s="25">
        <f t="shared" si="5"/>
        <v>86970800</v>
      </c>
    </row>
    <row r="19" spans="1:36" ht="56.25" x14ac:dyDescent="0.3">
      <c r="A19" s="17">
        <f t="shared" si="6"/>
        <v>10</v>
      </c>
      <c r="B19" s="18" t="s">
        <v>75</v>
      </c>
      <c r="C19" s="19">
        <v>270161</v>
      </c>
      <c r="D19" s="20">
        <v>352002</v>
      </c>
      <c r="E19" s="20"/>
      <c r="F19" s="21">
        <f t="shared" si="7"/>
        <v>0</v>
      </c>
      <c r="G19" s="21"/>
      <c r="H19" s="22"/>
      <c r="I19" s="21">
        <f t="shared" si="1"/>
        <v>27089353.399999999</v>
      </c>
      <c r="J19" s="21">
        <f t="shared" si="8"/>
        <v>0</v>
      </c>
      <c r="K19" s="21"/>
      <c r="L19" s="21"/>
      <c r="M19" s="21"/>
      <c r="N19" s="21">
        <f>27229771-140417.6</f>
        <v>27089353.399999999</v>
      </c>
      <c r="O19" s="21">
        <f t="shared" si="2"/>
        <v>0</v>
      </c>
      <c r="P19" s="21"/>
      <c r="Q19" s="21"/>
      <c r="R19" s="21"/>
      <c r="S19" s="23"/>
      <c r="T19" s="24">
        <f>F19+I19+S19</f>
        <v>27089353.399999999</v>
      </c>
      <c r="U19" s="21">
        <f t="shared" si="9"/>
        <v>47764082.962944001</v>
      </c>
      <c r="V19" s="21">
        <f t="shared" si="10"/>
        <v>47764082.962944001</v>
      </c>
      <c r="W19" s="21"/>
      <c r="X19" s="24">
        <f t="shared" si="4"/>
        <v>47764082.962944001</v>
      </c>
      <c r="Y19" s="21"/>
      <c r="Z19" s="21">
        <v>47764082.962944001</v>
      </c>
      <c r="AA19" s="21"/>
      <c r="AB19" s="24">
        <f t="shared" si="11"/>
        <v>0</v>
      </c>
      <c r="AC19" s="21"/>
      <c r="AD19" s="21"/>
      <c r="AE19" s="21"/>
      <c r="AF19" s="21"/>
      <c r="AG19" s="21"/>
      <c r="AH19" s="21"/>
      <c r="AI19" s="21"/>
      <c r="AJ19" s="25">
        <f t="shared" si="5"/>
        <v>74853436.362944007</v>
      </c>
    </row>
    <row r="20" spans="1:36" ht="37.5" x14ac:dyDescent="0.3">
      <c r="A20" s="17">
        <f t="shared" si="6"/>
        <v>11</v>
      </c>
      <c r="B20" s="18" t="s">
        <v>76</v>
      </c>
      <c r="C20" s="19">
        <v>270149</v>
      </c>
      <c r="D20" s="20">
        <v>351002</v>
      </c>
      <c r="E20" s="20"/>
      <c r="F20" s="21">
        <f t="shared" si="7"/>
        <v>0</v>
      </c>
      <c r="G20" s="21"/>
      <c r="H20" s="22"/>
      <c r="I20" s="21">
        <f t="shared" si="1"/>
        <v>70758557.669999987</v>
      </c>
      <c r="J20" s="21">
        <f t="shared" si="8"/>
        <v>0</v>
      </c>
      <c r="K20" s="21"/>
      <c r="L20" s="21"/>
      <c r="M20" s="21"/>
      <c r="N20" s="21">
        <v>13022600.000000002</v>
      </c>
      <c r="O20" s="21">
        <f t="shared" si="2"/>
        <v>57735957.669999987</v>
      </c>
      <c r="P20" s="21">
        <v>57735957.669999987</v>
      </c>
      <c r="Q20" s="21"/>
      <c r="R20" s="21"/>
      <c r="S20" s="23"/>
      <c r="T20" s="24">
        <f t="shared" si="3"/>
        <v>70758557.669999987</v>
      </c>
      <c r="U20" s="21">
        <f t="shared" si="9"/>
        <v>141719225.91663709</v>
      </c>
      <c r="V20" s="21">
        <f t="shared" si="10"/>
        <v>132718601.35663711</v>
      </c>
      <c r="W20" s="21">
        <v>110468817.97736911</v>
      </c>
      <c r="X20" s="24">
        <f t="shared" si="4"/>
        <v>22249783.379267994</v>
      </c>
      <c r="Y20" s="21">
        <v>3634114.6358279996</v>
      </c>
      <c r="Z20" s="21">
        <v>18615668.743439995</v>
      </c>
      <c r="AA20" s="21">
        <v>9000624.5599999987</v>
      </c>
      <c r="AB20" s="24">
        <f t="shared" si="11"/>
        <v>119469442.53736912</v>
      </c>
      <c r="AC20" s="21"/>
      <c r="AD20" s="21"/>
      <c r="AE20" s="21"/>
      <c r="AF20" s="21"/>
      <c r="AG20" s="21"/>
      <c r="AH20" s="21"/>
      <c r="AI20" s="21"/>
      <c r="AJ20" s="25">
        <f t="shared" si="5"/>
        <v>212477783.58663708</v>
      </c>
    </row>
    <row r="21" spans="1:36" ht="56.25" x14ac:dyDescent="0.3">
      <c r="A21" s="17">
        <f t="shared" si="6"/>
        <v>12</v>
      </c>
      <c r="B21" s="18" t="s">
        <v>77</v>
      </c>
      <c r="C21" s="19">
        <v>270015</v>
      </c>
      <c r="D21" s="20">
        <v>353001</v>
      </c>
      <c r="E21" s="20"/>
      <c r="F21" s="21">
        <f t="shared" si="7"/>
        <v>0</v>
      </c>
      <c r="G21" s="21"/>
      <c r="H21" s="22"/>
      <c r="I21" s="21">
        <f t="shared" si="1"/>
        <v>142904</v>
      </c>
      <c r="J21" s="21">
        <f t="shared" si="8"/>
        <v>0</v>
      </c>
      <c r="K21" s="21"/>
      <c r="L21" s="21"/>
      <c r="M21" s="21"/>
      <c r="N21" s="21"/>
      <c r="O21" s="21">
        <f t="shared" si="2"/>
        <v>142904</v>
      </c>
      <c r="P21" s="21">
        <v>142904</v>
      </c>
      <c r="Q21" s="21">
        <v>0</v>
      </c>
      <c r="R21" s="21"/>
      <c r="S21" s="23"/>
      <c r="T21" s="24">
        <f t="shared" si="3"/>
        <v>142904</v>
      </c>
      <c r="U21" s="21">
        <f t="shared" si="9"/>
        <v>66123846.490854397</v>
      </c>
      <c r="V21" s="21">
        <f t="shared" si="10"/>
        <v>66123846.490854397</v>
      </c>
      <c r="W21" s="21">
        <v>7113471.6924160002</v>
      </c>
      <c r="X21" s="24">
        <f t="shared" si="4"/>
        <v>59010374.7984384</v>
      </c>
      <c r="Y21" s="21"/>
      <c r="Z21" s="21">
        <v>59010374.7984384</v>
      </c>
      <c r="AA21" s="21"/>
      <c r="AB21" s="24">
        <f t="shared" si="11"/>
        <v>7113471.6924160002</v>
      </c>
      <c r="AC21" s="21"/>
      <c r="AD21" s="21"/>
      <c r="AE21" s="21"/>
      <c r="AF21" s="21"/>
      <c r="AG21" s="21"/>
      <c r="AH21" s="21"/>
      <c r="AI21" s="21"/>
      <c r="AJ21" s="25">
        <f t="shared" si="5"/>
        <v>66266750.490854397</v>
      </c>
    </row>
    <row r="22" spans="1:36" ht="37.5" x14ac:dyDescent="0.3">
      <c r="A22" s="17">
        <f t="shared" si="6"/>
        <v>13</v>
      </c>
      <c r="B22" s="18" t="s">
        <v>78</v>
      </c>
      <c r="C22" s="19">
        <v>270044</v>
      </c>
      <c r="D22" s="20">
        <v>5155001</v>
      </c>
      <c r="E22" s="20"/>
      <c r="F22" s="21">
        <f t="shared" si="7"/>
        <v>0</v>
      </c>
      <c r="G22" s="21"/>
      <c r="H22" s="22"/>
      <c r="I22" s="21">
        <f t="shared" si="1"/>
        <v>0</v>
      </c>
      <c r="J22" s="21">
        <f t="shared" si="8"/>
        <v>0</v>
      </c>
      <c r="K22" s="21"/>
      <c r="L22" s="21"/>
      <c r="M22" s="21"/>
      <c r="N22" s="21"/>
      <c r="O22" s="21">
        <f t="shared" si="2"/>
        <v>0</v>
      </c>
      <c r="P22" s="21"/>
      <c r="Q22" s="21"/>
      <c r="R22" s="21"/>
      <c r="S22" s="23"/>
      <c r="T22" s="24">
        <f t="shared" si="3"/>
        <v>0</v>
      </c>
      <c r="U22" s="21">
        <f t="shared" si="9"/>
        <v>0</v>
      </c>
      <c r="V22" s="21">
        <f t="shared" si="10"/>
        <v>0</v>
      </c>
      <c r="W22" s="21"/>
      <c r="X22" s="24">
        <f t="shared" si="4"/>
        <v>0</v>
      </c>
      <c r="Y22" s="21"/>
      <c r="Z22" s="21"/>
      <c r="AA22" s="21"/>
      <c r="AB22" s="24">
        <f t="shared" si="11"/>
        <v>0</v>
      </c>
      <c r="AC22" s="21"/>
      <c r="AD22" s="21"/>
      <c r="AE22" s="21"/>
      <c r="AF22" s="21"/>
      <c r="AG22" s="21"/>
      <c r="AH22" s="21"/>
      <c r="AI22" s="21"/>
      <c r="AJ22" s="25">
        <f t="shared" si="5"/>
        <v>0</v>
      </c>
    </row>
    <row r="23" spans="1:36" ht="56.25" x14ac:dyDescent="0.3">
      <c r="A23" s="17">
        <f t="shared" si="6"/>
        <v>14</v>
      </c>
      <c r="B23" s="18" t="s">
        <v>79</v>
      </c>
      <c r="C23" s="19">
        <v>270113</v>
      </c>
      <c r="D23" s="20">
        <v>352005</v>
      </c>
      <c r="E23" s="20"/>
      <c r="F23" s="21">
        <f t="shared" si="7"/>
        <v>0</v>
      </c>
      <c r="G23" s="21"/>
      <c r="H23" s="22"/>
      <c r="I23" s="21">
        <f t="shared" si="1"/>
        <v>31166099.082854137</v>
      </c>
      <c r="J23" s="21">
        <f t="shared" si="8"/>
        <v>0</v>
      </c>
      <c r="K23" s="21"/>
      <c r="L23" s="21"/>
      <c r="M23" s="21"/>
      <c r="N23" s="21">
        <v>20448299.082854137</v>
      </c>
      <c r="O23" s="21">
        <f t="shared" si="2"/>
        <v>10717800</v>
      </c>
      <c r="P23" s="21">
        <v>10717800</v>
      </c>
      <c r="Q23" s="21"/>
      <c r="R23" s="21"/>
      <c r="S23" s="23"/>
      <c r="T23" s="24">
        <f t="shared" si="3"/>
        <v>31166099.082854137</v>
      </c>
      <c r="U23" s="21">
        <f t="shared" si="9"/>
        <v>0</v>
      </c>
      <c r="V23" s="21">
        <f t="shared" si="10"/>
        <v>0</v>
      </c>
      <c r="W23" s="21"/>
      <c r="X23" s="24">
        <f t="shared" si="4"/>
        <v>0</v>
      </c>
      <c r="Y23" s="21"/>
      <c r="Z23" s="21"/>
      <c r="AA23" s="21"/>
      <c r="AB23" s="24">
        <f t="shared" si="11"/>
        <v>0</v>
      </c>
      <c r="AC23" s="21"/>
      <c r="AD23" s="21"/>
      <c r="AE23" s="21"/>
      <c r="AF23" s="21"/>
      <c r="AG23" s="21"/>
      <c r="AH23" s="21"/>
      <c r="AI23" s="21"/>
      <c r="AJ23" s="25">
        <f t="shared" si="5"/>
        <v>31166099.082854137</v>
      </c>
    </row>
    <row r="24" spans="1:36" ht="75" x14ac:dyDescent="0.3">
      <c r="A24" s="17">
        <f t="shared" si="6"/>
        <v>15</v>
      </c>
      <c r="B24" s="29" t="s">
        <v>80</v>
      </c>
      <c r="C24" s="30">
        <v>270115</v>
      </c>
      <c r="D24" s="31">
        <v>352006</v>
      </c>
      <c r="E24" s="20"/>
      <c r="F24" s="21">
        <f t="shared" si="7"/>
        <v>0</v>
      </c>
      <c r="G24" s="21"/>
      <c r="H24" s="22"/>
      <c r="I24" s="21">
        <f t="shared" si="1"/>
        <v>1622990</v>
      </c>
      <c r="J24" s="21">
        <f t="shared" si="8"/>
        <v>0</v>
      </c>
      <c r="K24" s="21"/>
      <c r="L24" s="21"/>
      <c r="M24" s="21"/>
      <c r="N24" s="21"/>
      <c r="O24" s="21">
        <f t="shared" si="2"/>
        <v>1622990</v>
      </c>
      <c r="P24" s="21">
        <v>1622990</v>
      </c>
      <c r="Q24" s="21"/>
      <c r="R24" s="21"/>
      <c r="S24" s="23"/>
      <c r="T24" s="24">
        <f t="shared" si="3"/>
        <v>1622990</v>
      </c>
      <c r="U24" s="21">
        <f t="shared" si="9"/>
        <v>0</v>
      </c>
      <c r="V24" s="21">
        <f t="shared" si="10"/>
        <v>0</v>
      </c>
      <c r="W24" s="21"/>
      <c r="X24" s="24">
        <f t="shared" si="4"/>
        <v>0</v>
      </c>
      <c r="Y24" s="21"/>
      <c r="Z24" s="21"/>
      <c r="AA24" s="21"/>
      <c r="AB24" s="24">
        <f t="shared" si="11"/>
        <v>0</v>
      </c>
      <c r="AC24" s="21"/>
      <c r="AD24" s="21"/>
      <c r="AE24" s="21"/>
      <c r="AF24" s="21"/>
      <c r="AG24" s="21"/>
      <c r="AH24" s="21"/>
      <c r="AI24" s="21"/>
      <c r="AJ24" s="25">
        <f t="shared" si="5"/>
        <v>1622990</v>
      </c>
    </row>
    <row r="25" spans="1:36" ht="37.5" x14ac:dyDescent="0.3">
      <c r="A25" s="17">
        <f t="shared" si="6"/>
        <v>16</v>
      </c>
      <c r="B25" s="18" t="s">
        <v>81</v>
      </c>
      <c r="C25" s="19">
        <v>270165</v>
      </c>
      <c r="D25" s="20">
        <v>2301165</v>
      </c>
      <c r="E25" s="20"/>
      <c r="F25" s="21">
        <f t="shared" si="7"/>
        <v>0</v>
      </c>
      <c r="G25" s="21"/>
      <c r="H25" s="22"/>
      <c r="I25" s="21">
        <f t="shared" si="1"/>
        <v>0</v>
      </c>
      <c r="J25" s="21">
        <f t="shared" si="8"/>
        <v>0</v>
      </c>
      <c r="K25" s="21"/>
      <c r="L25" s="21"/>
      <c r="M25" s="21"/>
      <c r="N25" s="21"/>
      <c r="O25" s="21">
        <f t="shared" si="2"/>
        <v>0</v>
      </c>
      <c r="P25" s="21"/>
      <c r="Q25" s="21"/>
      <c r="R25" s="21"/>
      <c r="S25" s="23"/>
      <c r="T25" s="24">
        <f t="shared" si="3"/>
        <v>0</v>
      </c>
      <c r="U25" s="21">
        <f t="shared" si="9"/>
        <v>0</v>
      </c>
      <c r="V25" s="21">
        <f t="shared" si="10"/>
        <v>0</v>
      </c>
      <c r="W25" s="21"/>
      <c r="X25" s="24">
        <f t="shared" si="4"/>
        <v>0</v>
      </c>
      <c r="Y25" s="21"/>
      <c r="Z25" s="21"/>
      <c r="AA25" s="21"/>
      <c r="AB25" s="24">
        <f t="shared" si="11"/>
        <v>0</v>
      </c>
      <c r="AC25" s="21"/>
      <c r="AD25" s="21"/>
      <c r="AE25" s="21"/>
      <c r="AF25" s="21"/>
      <c r="AG25" s="21"/>
      <c r="AH25" s="21"/>
      <c r="AI25" s="21">
        <v>167881543.94999999</v>
      </c>
      <c r="AJ25" s="25">
        <f t="shared" si="5"/>
        <v>167881543.94999999</v>
      </c>
    </row>
    <row r="26" spans="1:36" ht="37.5" x14ac:dyDescent="0.3">
      <c r="A26" s="17">
        <f t="shared" si="6"/>
        <v>17</v>
      </c>
      <c r="B26" s="18" t="s">
        <v>82</v>
      </c>
      <c r="C26" s="19">
        <v>270016</v>
      </c>
      <c r="D26" s="20">
        <v>2141002</v>
      </c>
      <c r="E26" s="20"/>
      <c r="F26" s="21">
        <f t="shared" si="7"/>
        <v>0</v>
      </c>
      <c r="G26" s="21"/>
      <c r="H26" s="22"/>
      <c r="I26" s="21">
        <f t="shared" si="1"/>
        <v>1555499.82</v>
      </c>
      <c r="J26" s="21">
        <f t="shared" si="8"/>
        <v>0</v>
      </c>
      <c r="K26" s="21"/>
      <c r="L26" s="21"/>
      <c r="M26" s="21"/>
      <c r="N26" s="21"/>
      <c r="O26" s="21">
        <f t="shared" si="2"/>
        <v>1555499.82</v>
      </c>
      <c r="P26" s="21">
        <v>0</v>
      </c>
      <c r="Q26" s="21">
        <v>1555499.82</v>
      </c>
      <c r="R26" s="21"/>
      <c r="S26" s="23"/>
      <c r="T26" s="24">
        <f t="shared" si="3"/>
        <v>1555499.82</v>
      </c>
      <c r="U26" s="21">
        <f t="shared" si="9"/>
        <v>41672421.660733037</v>
      </c>
      <c r="V26" s="21">
        <f t="shared" si="10"/>
        <v>38921985.692733034</v>
      </c>
      <c r="W26" s="21">
        <v>33894146.782733038</v>
      </c>
      <c r="X26" s="24">
        <f t="shared" si="4"/>
        <v>5027838.9099999992</v>
      </c>
      <c r="Y26" s="21">
        <v>5027838.9099999992</v>
      </c>
      <c r="Z26" s="21"/>
      <c r="AA26" s="21">
        <v>2750435.9680000003</v>
      </c>
      <c r="AB26" s="24">
        <f t="shared" si="11"/>
        <v>36644582.75073304</v>
      </c>
      <c r="AC26" s="21"/>
      <c r="AD26" s="21"/>
      <c r="AE26" s="21"/>
      <c r="AF26" s="21"/>
      <c r="AG26" s="21"/>
      <c r="AH26" s="21"/>
      <c r="AI26" s="21"/>
      <c r="AJ26" s="25">
        <f t="shared" si="5"/>
        <v>43227921.480733037</v>
      </c>
    </row>
    <row r="27" spans="1:36" ht="56.25" x14ac:dyDescent="0.3">
      <c r="A27" s="17">
        <f t="shared" si="6"/>
        <v>18</v>
      </c>
      <c r="B27" s="18" t="s">
        <v>83</v>
      </c>
      <c r="C27" s="19">
        <v>270017</v>
      </c>
      <c r="D27" s="20">
        <v>2141010</v>
      </c>
      <c r="E27" s="20">
        <v>1</v>
      </c>
      <c r="F27" s="21">
        <f t="shared" si="7"/>
        <v>35016525.840000004</v>
      </c>
      <c r="G27" s="21">
        <v>33996627.030000001</v>
      </c>
      <c r="H27" s="22">
        <v>1019898.81</v>
      </c>
      <c r="I27" s="21">
        <f t="shared" si="1"/>
        <v>193026754.94182003</v>
      </c>
      <c r="J27" s="21">
        <f t="shared" si="8"/>
        <v>115073517.45182</v>
      </c>
      <c r="K27" s="21">
        <f>106520306.98182-8200000</f>
        <v>98320306.981820002</v>
      </c>
      <c r="L27" s="21">
        <v>8830571.3600000013</v>
      </c>
      <c r="M27" s="21">
        <v>7922639.1100000003</v>
      </c>
      <c r="N27" s="21">
        <f>12913225.62-311056</f>
        <v>12602169.619999999</v>
      </c>
      <c r="O27" s="21">
        <f t="shared" si="2"/>
        <v>65351067.870000005</v>
      </c>
      <c r="P27" s="21">
        <f>2044234.15000001-1070584</f>
        <v>973650.15000000992</v>
      </c>
      <c r="Q27" s="21">
        <v>22652910</v>
      </c>
      <c r="R27" s="21">
        <v>41724507.719999999</v>
      </c>
      <c r="S27" s="23"/>
      <c r="T27" s="24">
        <f t="shared" si="3"/>
        <v>228043280.78182003</v>
      </c>
      <c r="U27" s="21">
        <f t="shared" si="9"/>
        <v>618426830.3113364</v>
      </c>
      <c r="V27" s="21">
        <f t="shared" si="10"/>
        <v>571964511.63133645</v>
      </c>
      <c r="W27" s="21">
        <v>521381191.0636245</v>
      </c>
      <c r="X27" s="24">
        <f t="shared" si="4"/>
        <v>50583320.567712009</v>
      </c>
      <c r="Y27" s="21">
        <v>19854136.150272001</v>
      </c>
      <c r="Z27" s="21">
        <v>30729184.417440005</v>
      </c>
      <c r="AA27" s="21">
        <v>46462318.68</v>
      </c>
      <c r="AB27" s="24">
        <f t="shared" si="11"/>
        <v>567843509.74362445</v>
      </c>
      <c r="AC27" s="21"/>
      <c r="AD27" s="21"/>
      <c r="AE27" s="21"/>
      <c r="AF27" s="21"/>
      <c r="AG27" s="21"/>
      <c r="AH27" s="21"/>
      <c r="AI27" s="21">
        <v>1637520.4</v>
      </c>
      <c r="AJ27" s="25">
        <f t="shared" si="5"/>
        <v>848107631.49315643</v>
      </c>
    </row>
    <row r="28" spans="1:36" ht="56.25" x14ac:dyDescent="0.3">
      <c r="A28" s="17">
        <f t="shared" si="6"/>
        <v>19</v>
      </c>
      <c r="B28" s="18" t="s">
        <v>84</v>
      </c>
      <c r="C28" s="19">
        <v>270018</v>
      </c>
      <c r="D28" s="20">
        <v>2144011</v>
      </c>
      <c r="E28" s="20">
        <v>1</v>
      </c>
      <c r="F28" s="21">
        <f t="shared" si="7"/>
        <v>0</v>
      </c>
      <c r="G28" s="21"/>
      <c r="H28" s="22"/>
      <c r="I28" s="32">
        <f t="shared" si="1"/>
        <v>11916849.211819299</v>
      </c>
      <c r="J28" s="21">
        <f t="shared" si="8"/>
        <v>0</v>
      </c>
      <c r="K28" s="21"/>
      <c r="L28" s="21"/>
      <c r="M28" s="21"/>
      <c r="N28" s="21">
        <v>11916849.211819299</v>
      </c>
      <c r="O28" s="21">
        <f t="shared" si="2"/>
        <v>0</v>
      </c>
      <c r="P28" s="21">
        <v>0</v>
      </c>
      <c r="Q28" s="21">
        <v>0</v>
      </c>
      <c r="R28" s="21"/>
      <c r="S28" s="23"/>
      <c r="T28" s="24">
        <f t="shared" si="3"/>
        <v>11916849.211819299</v>
      </c>
      <c r="U28" s="21">
        <f t="shared" si="9"/>
        <v>381697404.91384202</v>
      </c>
      <c r="V28" s="21">
        <f t="shared" si="10"/>
        <v>375398678.225842</v>
      </c>
      <c r="W28" s="21">
        <v>364802347.86584198</v>
      </c>
      <c r="X28" s="24">
        <f t="shared" si="4"/>
        <v>10596330.359999999</v>
      </c>
      <c r="Y28" s="21">
        <v>10596330.359999999</v>
      </c>
      <c r="Z28" s="21"/>
      <c r="AA28" s="21">
        <v>6298726.6880000001</v>
      </c>
      <c r="AB28" s="24">
        <f t="shared" si="11"/>
        <v>371101074.55384201</v>
      </c>
      <c r="AC28" s="21"/>
      <c r="AD28" s="21"/>
      <c r="AE28" s="21"/>
      <c r="AF28" s="21"/>
      <c r="AG28" s="21"/>
      <c r="AH28" s="21"/>
      <c r="AI28" s="21"/>
      <c r="AJ28" s="25">
        <f t="shared" si="5"/>
        <v>393614254.12566131</v>
      </c>
    </row>
    <row r="29" spans="1:36" ht="56.25" x14ac:dyDescent="0.3">
      <c r="A29" s="17">
        <f t="shared" si="6"/>
        <v>20</v>
      </c>
      <c r="B29" s="18" t="s">
        <v>85</v>
      </c>
      <c r="C29" s="19">
        <v>270040</v>
      </c>
      <c r="D29" s="20">
        <v>2241001</v>
      </c>
      <c r="E29" s="20">
        <v>1</v>
      </c>
      <c r="F29" s="21">
        <f t="shared" si="7"/>
        <v>70721711.570000008</v>
      </c>
      <c r="G29" s="21">
        <v>68661855.890000001</v>
      </c>
      <c r="H29" s="22">
        <v>2059855.68</v>
      </c>
      <c r="I29" s="21">
        <f t="shared" si="1"/>
        <v>69217155.032668799</v>
      </c>
      <c r="J29" s="21">
        <f t="shared" si="8"/>
        <v>33592950.18266879</v>
      </c>
      <c r="K29" s="21">
        <v>1115894.3924128001</v>
      </c>
      <c r="L29" s="21">
        <v>32477055.790255994</v>
      </c>
      <c r="M29" s="21"/>
      <c r="N29" s="21">
        <v>7523119</v>
      </c>
      <c r="O29" s="21">
        <f t="shared" si="2"/>
        <v>28101085.850000001</v>
      </c>
      <c r="P29" s="21">
        <v>18716308.850000001</v>
      </c>
      <c r="Q29" s="21">
        <v>9384777</v>
      </c>
      <c r="R29" s="21"/>
      <c r="S29" s="23"/>
      <c r="T29" s="24">
        <f t="shared" si="3"/>
        <v>139938866.60266882</v>
      </c>
      <c r="U29" s="21">
        <f t="shared" si="9"/>
        <v>66568688.661512002</v>
      </c>
      <c r="V29" s="21">
        <f t="shared" si="10"/>
        <v>66568688.661512002</v>
      </c>
      <c r="W29" s="21">
        <v>58999881.261512004</v>
      </c>
      <c r="X29" s="24">
        <f t="shared" si="4"/>
        <v>7568807.3999999994</v>
      </c>
      <c r="Y29" s="21">
        <v>2459809.7999999998</v>
      </c>
      <c r="Z29" s="21">
        <v>5108997.5999999996</v>
      </c>
      <c r="AA29" s="21"/>
      <c r="AB29" s="24">
        <f t="shared" si="11"/>
        <v>58999881.261512004</v>
      </c>
      <c r="AC29" s="21"/>
      <c r="AD29" s="21"/>
      <c r="AE29" s="21"/>
      <c r="AF29" s="21"/>
      <c r="AG29" s="21"/>
      <c r="AH29" s="21"/>
      <c r="AI29" s="21"/>
      <c r="AJ29" s="25">
        <f t="shared" si="5"/>
        <v>206507555.26418084</v>
      </c>
    </row>
    <row r="30" spans="1:36" ht="37.5" x14ac:dyDescent="0.3">
      <c r="A30" s="17">
        <f t="shared" si="6"/>
        <v>21</v>
      </c>
      <c r="B30" s="18" t="s">
        <v>86</v>
      </c>
      <c r="C30" s="19">
        <v>270041</v>
      </c>
      <c r="D30" s="20">
        <v>2241009</v>
      </c>
      <c r="E30" s="20">
        <v>1</v>
      </c>
      <c r="F30" s="21">
        <f t="shared" si="7"/>
        <v>104347280.21000002</v>
      </c>
      <c r="G30" s="21">
        <v>101308039.04000002</v>
      </c>
      <c r="H30" s="22">
        <v>3039241.17</v>
      </c>
      <c r="I30" s="21">
        <f t="shared" si="1"/>
        <v>104403400.69779357</v>
      </c>
      <c r="J30" s="21">
        <f t="shared" si="8"/>
        <v>84236137.297793582</v>
      </c>
      <c r="K30" s="21">
        <v>1978176.4229136</v>
      </c>
      <c r="L30" s="21">
        <v>82257960.874879986</v>
      </c>
      <c r="M30" s="21"/>
      <c r="N30" s="21">
        <v>1613451.4</v>
      </c>
      <c r="O30" s="21">
        <f t="shared" si="2"/>
        <v>18553812</v>
      </c>
      <c r="P30" s="21">
        <v>0</v>
      </c>
      <c r="Q30" s="21">
        <v>18553812</v>
      </c>
      <c r="R30" s="21"/>
      <c r="S30" s="23"/>
      <c r="T30" s="24">
        <f t="shared" si="3"/>
        <v>208750680.90779358</v>
      </c>
      <c r="U30" s="21">
        <f t="shared" si="9"/>
        <v>119332517.9756352</v>
      </c>
      <c r="V30" s="21">
        <f t="shared" si="10"/>
        <v>119332517.9756352</v>
      </c>
      <c r="W30" s="21">
        <v>64265711.289835192</v>
      </c>
      <c r="X30" s="24">
        <f t="shared" si="4"/>
        <v>55066806.685800001</v>
      </c>
      <c r="Y30" s="21"/>
      <c r="Z30" s="21">
        <v>55066806.685800001</v>
      </c>
      <c r="AA30" s="21"/>
      <c r="AB30" s="24">
        <f t="shared" si="11"/>
        <v>64265711.289835192</v>
      </c>
      <c r="AC30" s="21"/>
      <c r="AD30" s="21"/>
      <c r="AE30" s="21"/>
      <c r="AF30" s="21"/>
      <c r="AG30" s="21"/>
      <c r="AH30" s="21"/>
      <c r="AI30" s="21"/>
      <c r="AJ30" s="25">
        <f t="shared" si="5"/>
        <v>328083198.88342881</v>
      </c>
    </row>
    <row r="31" spans="1:36" x14ac:dyDescent="0.3">
      <c r="A31" s="17">
        <f t="shared" si="6"/>
        <v>22</v>
      </c>
      <c r="B31" s="28" t="s">
        <v>87</v>
      </c>
      <c r="C31" s="19">
        <v>270032</v>
      </c>
      <c r="D31" s="20">
        <v>2148001</v>
      </c>
      <c r="E31" s="20"/>
      <c r="F31" s="21">
        <f t="shared" si="7"/>
        <v>0</v>
      </c>
      <c r="G31" s="21"/>
      <c r="H31" s="22"/>
      <c r="I31" s="21">
        <f t="shared" si="1"/>
        <v>71366012.430000007</v>
      </c>
      <c r="J31" s="21">
        <f t="shared" si="8"/>
        <v>0</v>
      </c>
      <c r="K31" s="21"/>
      <c r="L31" s="21"/>
      <c r="M31" s="21"/>
      <c r="N31" s="21">
        <v>724868.91000000015</v>
      </c>
      <c r="O31" s="21">
        <f t="shared" si="2"/>
        <v>70641143.520000011</v>
      </c>
      <c r="P31" s="21">
        <v>70224761.460000008</v>
      </c>
      <c r="Q31" s="21">
        <v>416382.06</v>
      </c>
      <c r="R31" s="21"/>
      <c r="S31" s="23"/>
      <c r="T31" s="24">
        <f>F31+I31+S31</f>
        <v>71366012.430000007</v>
      </c>
      <c r="U31" s="21">
        <f t="shared" si="9"/>
        <v>118907213.1568004</v>
      </c>
      <c r="V31" s="21">
        <f t="shared" si="10"/>
        <v>118907213.1568004</v>
      </c>
      <c r="W31" s="21">
        <v>97227440.896800593</v>
      </c>
      <c r="X31" s="24">
        <f t="shared" si="4"/>
        <v>21679772.259999812</v>
      </c>
      <c r="Y31" s="21"/>
      <c r="Z31" s="21">
        <v>21679772.259999812</v>
      </c>
      <c r="AA31" s="21"/>
      <c r="AB31" s="24">
        <f t="shared" si="11"/>
        <v>97227440.896800593</v>
      </c>
      <c r="AC31" s="21"/>
      <c r="AD31" s="21"/>
      <c r="AE31" s="21"/>
      <c r="AF31" s="21"/>
      <c r="AG31" s="21"/>
      <c r="AH31" s="21"/>
      <c r="AI31" s="21"/>
      <c r="AJ31" s="25">
        <f t="shared" si="5"/>
        <v>190273225.5868004</v>
      </c>
    </row>
    <row r="32" spans="1:36" x14ac:dyDescent="0.3">
      <c r="A32" s="17">
        <f t="shared" si="6"/>
        <v>23</v>
      </c>
      <c r="B32" s="18" t="s">
        <v>88</v>
      </c>
      <c r="C32" s="19">
        <v>270033</v>
      </c>
      <c r="D32" s="20">
        <v>2148002</v>
      </c>
      <c r="E32" s="20"/>
      <c r="F32" s="21">
        <f t="shared" si="7"/>
        <v>0</v>
      </c>
      <c r="G32" s="21"/>
      <c r="H32" s="22"/>
      <c r="I32" s="21">
        <f t="shared" si="1"/>
        <v>19451652.450000003</v>
      </c>
      <c r="J32" s="21">
        <f t="shared" si="8"/>
        <v>0</v>
      </c>
      <c r="K32" s="21"/>
      <c r="L32" s="21"/>
      <c r="M32" s="21"/>
      <c r="N32" s="21">
        <v>734191.52000000014</v>
      </c>
      <c r="O32" s="21">
        <f t="shared" si="2"/>
        <v>18717460.930000003</v>
      </c>
      <c r="P32" s="21">
        <v>18447783.430000003</v>
      </c>
      <c r="Q32" s="21">
        <v>269677.5</v>
      </c>
      <c r="R32" s="21"/>
      <c r="S32" s="23"/>
      <c r="T32" s="24">
        <f t="shared" ref="T32:T86" si="12">F32+I32+S32</f>
        <v>19451652.450000003</v>
      </c>
      <c r="U32" s="21">
        <f t="shared" si="9"/>
        <v>66776011.049999908</v>
      </c>
      <c r="V32" s="21">
        <f t="shared" si="10"/>
        <v>66776011.049999908</v>
      </c>
      <c r="W32" s="21">
        <v>60746624.899999909</v>
      </c>
      <c r="X32" s="24">
        <f t="shared" si="4"/>
        <v>6029386.1499999994</v>
      </c>
      <c r="Y32" s="21"/>
      <c r="Z32" s="21">
        <v>6029386.1499999994</v>
      </c>
      <c r="AA32" s="21"/>
      <c r="AB32" s="24">
        <f t="shared" si="11"/>
        <v>60746624.899999909</v>
      </c>
      <c r="AC32" s="21"/>
      <c r="AD32" s="21"/>
      <c r="AE32" s="21"/>
      <c r="AF32" s="21"/>
      <c r="AG32" s="21"/>
      <c r="AH32" s="21"/>
      <c r="AI32" s="21"/>
      <c r="AJ32" s="25">
        <f t="shared" si="5"/>
        <v>86227663.499999911</v>
      </c>
    </row>
    <row r="33" spans="1:36" ht="37.5" x14ac:dyDescent="0.3">
      <c r="A33" s="17">
        <f t="shared" si="6"/>
        <v>24</v>
      </c>
      <c r="B33" s="28" t="s">
        <v>89</v>
      </c>
      <c r="C33" s="19">
        <v>270034</v>
      </c>
      <c r="D33" s="20">
        <v>2148004</v>
      </c>
      <c r="E33" s="20"/>
      <c r="F33" s="21">
        <f t="shared" si="7"/>
        <v>0</v>
      </c>
      <c r="G33" s="21"/>
      <c r="H33" s="22"/>
      <c r="I33" s="21">
        <f t="shared" si="1"/>
        <v>46999809.840000004</v>
      </c>
      <c r="J33" s="21">
        <f t="shared" si="8"/>
        <v>0</v>
      </c>
      <c r="K33" s="21"/>
      <c r="L33" s="21"/>
      <c r="M33" s="21"/>
      <c r="N33" s="21">
        <v>1868214.59</v>
      </c>
      <c r="O33" s="21">
        <f t="shared" si="2"/>
        <v>45131595.25</v>
      </c>
      <c r="P33" s="21">
        <v>44760519.009999998</v>
      </c>
      <c r="Q33" s="21">
        <v>371076.24</v>
      </c>
      <c r="R33" s="21"/>
      <c r="S33" s="23"/>
      <c r="T33" s="24">
        <f t="shared" si="12"/>
        <v>46999809.840000004</v>
      </c>
      <c r="U33" s="21">
        <f t="shared" si="9"/>
        <v>165062533.34899998</v>
      </c>
      <c r="V33" s="21">
        <f t="shared" si="10"/>
        <v>165062533.34899998</v>
      </c>
      <c r="W33" s="21">
        <v>152723714.96899998</v>
      </c>
      <c r="X33" s="24">
        <f t="shared" si="4"/>
        <v>12338818.380000001</v>
      </c>
      <c r="Y33" s="21"/>
      <c r="Z33" s="21">
        <v>12338818.380000001</v>
      </c>
      <c r="AA33" s="21"/>
      <c r="AB33" s="24">
        <f t="shared" si="11"/>
        <v>152723714.96899998</v>
      </c>
      <c r="AC33" s="21"/>
      <c r="AD33" s="21"/>
      <c r="AE33" s="21"/>
      <c r="AF33" s="21"/>
      <c r="AG33" s="21"/>
      <c r="AH33" s="21"/>
      <c r="AI33" s="21"/>
      <c r="AJ33" s="25">
        <f t="shared" si="5"/>
        <v>212062343.18899998</v>
      </c>
    </row>
    <row r="34" spans="1:36" ht="37.5" x14ac:dyDescent="0.3">
      <c r="A34" s="17">
        <f t="shared" si="6"/>
        <v>25</v>
      </c>
      <c r="B34" s="28" t="s">
        <v>90</v>
      </c>
      <c r="C34" s="19">
        <v>270019</v>
      </c>
      <c r="D34" s="20">
        <v>2101003</v>
      </c>
      <c r="E34" s="20">
        <v>1</v>
      </c>
      <c r="F34" s="21">
        <f t="shared" si="7"/>
        <v>74035876.519999996</v>
      </c>
      <c r="G34" s="21">
        <v>71879491.769999996</v>
      </c>
      <c r="H34" s="22">
        <v>2156384.75</v>
      </c>
      <c r="I34" s="21">
        <f t="shared" si="1"/>
        <v>205324322.10393029</v>
      </c>
      <c r="J34" s="21">
        <f t="shared" si="8"/>
        <v>119592758.372311</v>
      </c>
      <c r="K34" s="21">
        <f>106636854.992311-6000000</f>
        <v>100636854.992311</v>
      </c>
      <c r="L34" s="21">
        <v>8839020.3200000003</v>
      </c>
      <c r="M34" s="21">
        <v>10116883.060000001</v>
      </c>
      <c r="N34" s="21">
        <f>16755193.0216193-405</f>
        <v>16754788.021619299</v>
      </c>
      <c r="O34" s="21">
        <f>P34+Q34+R34</f>
        <v>68976775.709999993</v>
      </c>
      <c r="P34" s="21">
        <f>337335.949999996-190140</f>
        <v>147195.949999996</v>
      </c>
      <c r="Q34" s="21">
        <v>16180650</v>
      </c>
      <c r="R34" s="21">
        <v>52648929.759999998</v>
      </c>
      <c r="S34" s="23"/>
      <c r="T34" s="24">
        <f t="shared" si="12"/>
        <v>279360198.62393028</v>
      </c>
      <c r="U34" s="21">
        <f t="shared" si="9"/>
        <v>79025553.862452</v>
      </c>
      <c r="V34" s="21">
        <f t="shared" si="10"/>
        <v>79025553.862452</v>
      </c>
      <c r="W34" s="21"/>
      <c r="X34" s="24">
        <f t="shared" si="4"/>
        <v>79025553.862452</v>
      </c>
      <c r="Y34" s="21"/>
      <c r="Z34" s="21">
        <v>79025553.862452</v>
      </c>
      <c r="AA34" s="21"/>
      <c r="AB34" s="24">
        <f t="shared" si="11"/>
        <v>0</v>
      </c>
      <c r="AC34" s="21"/>
      <c r="AD34" s="21"/>
      <c r="AE34" s="21"/>
      <c r="AF34" s="21"/>
      <c r="AG34" s="21"/>
      <c r="AH34" s="21"/>
      <c r="AI34" s="21"/>
      <c r="AJ34" s="25">
        <f t="shared" si="5"/>
        <v>358385752.48638225</v>
      </c>
    </row>
    <row r="35" spans="1:36" ht="37.5" x14ac:dyDescent="0.3">
      <c r="A35" s="17">
        <f t="shared" si="6"/>
        <v>26</v>
      </c>
      <c r="B35" s="28" t="s">
        <v>91</v>
      </c>
      <c r="C35" s="19">
        <v>270020</v>
      </c>
      <c r="D35" s="20">
        <v>2141005</v>
      </c>
      <c r="E35" s="20">
        <v>1</v>
      </c>
      <c r="F35" s="21">
        <f t="shared" si="7"/>
        <v>29444603</v>
      </c>
      <c r="G35" s="21">
        <v>28586993.199999999</v>
      </c>
      <c r="H35" s="22">
        <v>857609.8</v>
      </c>
      <c r="I35" s="21">
        <f t="shared" si="1"/>
        <v>109171908.90362981</v>
      </c>
      <c r="J35" s="21">
        <f t="shared" si="8"/>
        <v>66220325.043629803</v>
      </c>
      <c r="K35" s="21">
        <f>60063726.5436298-5000000</f>
        <v>55063726.543629803</v>
      </c>
      <c r="L35" s="21">
        <v>4979253.7600000007</v>
      </c>
      <c r="M35" s="21">
        <v>6177344.7400000002</v>
      </c>
      <c r="N35" s="21">
        <v>3397528</v>
      </c>
      <c r="O35" s="21">
        <f t="shared" si="2"/>
        <v>39554055.859999999</v>
      </c>
      <c r="P35" s="21">
        <f>218467.5-114084</f>
        <v>104383.5</v>
      </c>
      <c r="Q35" s="21">
        <v>15101940</v>
      </c>
      <c r="R35" s="21">
        <v>24347732.359999999</v>
      </c>
      <c r="S35" s="23"/>
      <c r="T35" s="24">
        <f t="shared" si="12"/>
        <v>138616511.90362981</v>
      </c>
      <c r="U35" s="21">
        <f t="shared" si="9"/>
        <v>39503800.194587998</v>
      </c>
      <c r="V35" s="21">
        <f t="shared" si="10"/>
        <v>39503800.194587998</v>
      </c>
      <c r="W35" s="21"/>
      <c r="X35" s="24">
        <f t="shared" si="4"/>
        <v>39503800.194587998</v>
      </c>
      <c r="Y35" s="21"/>
      <c r="Z35" s="21">
        <v>39503800.194587998</v>
      </c>
      <c r="AA35" s="21"/>
      <c r="AB35" s="24">
        <f t="shared" si="11"/>
        <v>0</v>
      </c>
      <c r="AC35" s="21"/>
      <c r="AD35" s="21"/>
      <c r="AE35" s="21"/>
      <c r="AF35" s="21"/>
      <c r="AG35" s="21"/>
      <c r="AH35" s="21"/>
      <c r="AI35" s="21"/>
      <c r="AJ35" s="25">
        <f t="shared" si="5"/>
        <v>178120312.09821782</v>
      </c>
    </row>
    <row r="36" spans="1:36" ht="37.5" x14ac:dyDescent="0.3">
      <c r="A36" s="17">
        <f t="shared" si="6"/>
        <v>27</v>
      </c>
      <c r="B36" s="18" t="s">
        <v>92</v>
      </c>
      <c r="C36" s="19">
        <v>270021</v>
      </c>
      <c r="D36" s="20">
        <v>2101006</v>
      </c>
      <c r="E36" s="20">
        <v>1</v>
      </c>
      <c r="F36" s="21">
        <f t="shared" si="7"/>
        <v>62394310.990000002</v>
      </c>
      <c r="G36" s="21">
        <v>60577000.960000001</v>
      </c>
      <c r="H36" s="22">
        <v>1817310.03</v>
      </c>
      <c r="I36" s="21">
        <f t="shared" si="1"/>
        <v>200145090.89374679</v>
      </c>
      <c r="J36" s="21">
        <f t="shared" si="8"/>
        <v>105204000.3108605</v>
      </c>
      <c r="K36" s="21">
        <f>91955518.9308605-1300000</f>
        <v>90655518.930860505</v>
      </c>
      <c r="L36" s="21">
        <v>7622370.0800000001</v>
      </c>
      <c r="M36" s="21">
        <v>6926111.2999999998</v>
      </c>
      <c r="N36" s="21">
        <f>35332638.8228863-143218</f>
        <v>35189420.822886303</v>
      </c>
      <c r="O36" s="21">
        <f t="shared" si="2"/>
        <v>59751669.75999999</v>
      </c>
      <c r="P36" s="21">
        <f>1288908.57999999-727014.08</f>
        <v>561894.4999999901</v>
      </c>
      <c r="Q36" s="21">
        <v>25507176.66</v>
      </c>
      <c r="R36" s="21">
        <v>33682598.600000001</v>
      </c>
      <c r="S36" s="23"/>
      <c r="T36" s="24">
        <f t="shared" si="12"/>
        <v>262539401.8837468</v>
      </c>
      <c r="U36" s="21">
        <f t="shared" si="9"/>
        <v>102555939.25214799</v>
      </c>
      <c r="V36" s="21">
        <f t="shared" si="10"/>
        <v>102555939.25214799</v>
      </c>
      <c r="W36" s="21">
        <v>23779906.788399998</v>
      </c>
      <c r="X36" s="24">
        <f t="shared" si="4"/>
        <v>78776032.463747993</v>
      </c>
      <c r="Y36" s="21"/>
      <c r="Z36" s="21">
        <v>78776032.463747993</v>
      </c>
      <c r="AA36" s="21"/>
      <c r="AB36" s="24">
        <f t="shared" si="11"/>
        <v>23779906.788399998</v>
      </c>
      <c r="AC36" s="21"/>
      <c r="AD36" s="21"/>
      <c r="AE36" s="21"/>
      <c r="AF36" s="21"/>
      <c r="AG36" s="21"/>
      <c r="AH36" s="21"/>
      <c r="AI36" s="21"/>
      <c r="AJ36" s="25">
        <f t="shared" si="5"/>
        <v>365095341.13589478</v>
      </c>
    </row>
    <row r="37" spans="1:36" ht="37.5" x14ac:dyDescent="0.3">
      <c r="A37" s="17">
        <f t="shared" si="6"/>
        <v>28</v>
      </c>
      <c r="B37" s="28" t="s">
        <v>93</v>
      </c>
      <c r="C37" s="19">
        <v>270022</v>
      </c>
      <c r="D37" s="20">
        <v>2101007</v>
      </c>
      <c r="E37" s="20">
        <v>1</v>
      </c>
      <c r="F37" s="21">
        <f t="shared" si="7"/>
        <v>123574655.39999999</v>
      </c>
      <c r="G37" s="21">
        <v>119023526.75999999</v>
      </c>
      <c r="H37" s="22">
        <f>3570705.8+980422.84</f>
        <v>4551128.6399999997</v>
      </c>
      <c r="I37" s="21">
        <f t="shared" si="1"/>
        <v>103544606.31952991</v>
      </c>
      <c r="J37" s="21">
        <f t="shared" si="8"/>
        <v>71603774.929529905</v>
      </c>
      <c r="K37" s="21">
        <f>48613015.0349379-3500000</f>
        <v>45113015.034937903</v>
      </c>
      <c r="L37" s="21">
        <v>22373343.954592001</v>
      </c>
      <c r="M37" s="21">
        <v>4117415.9399999995</v>
      </c>
      <c r="N37" s="21">
        <v>3992850.13</v>
      </c>
      <c r="O37" s="21">
        <f t="shared" si="2"/>
        <v>27947981.259999998</v>
      </c>
      <c r="P37" s="21">
        <v>2439058.1599999992</v>
      </c>
      <c r="Q37" s="21">
        <v>11742837.060000001</v>
      </c>
      <c r="R37" s="21">
        <v>13766086.039999999</v>
      </c>
      <c r="S37" s="23"/>
      <c r="T37" s="24">
        <f t="shared" si="12"/>
        <v>227119261.7195299</v>
      </c>
      <c r="U37" s="21">
        <f t="shared" si="9"/>
        <v>36916047.525600001</v>
      </c>
      <c r="V37" s="21">
        <f t="shared" si="10"/>
        <v>36916047.525600001</v>
      </c>
      <c r="W37" s="21"/>
      <c r="X37" s="24">
        <f t="shared" si="4"/>
        <v>36916047.525600001</v>
      </c>
      <c r="Y37" s="21"/>
      <c r="Z37" s="21">
        <v>36916047.525600001</v>
      </c>
      <c r="AA37" s="21"/>
      <c r="AB37" s="24">
        <f t="shared" si="11"/>
        <v>0</v>
      </c>
      <c r="AC37" s="21"/>
      <c r="AD37" s="21"/>
      <c r="AE37" s="21"/>
      <c r="AF37" s="21"/>
      <c r="AG37" s="21"/>
      <c r="AH37" s="21"/>
      <c r="AI37" s="21"/>
      <c r="AJ37" s="25">
        <f t="shared" si="5"/>
        <v>264035309.24512988</v>
      </c>
    </row>
    <row r="38" spans="1:36" ht="37.5" x14ac:dyDescent="0.3">
      <c r="A38" s="17">
        <f t="shared" si="6"/>
        <v>29</v>
      </c>
      <c r="B38" s="28" t="s">
        <v>94</v>
      </c>
      <c r="C38" s="19">
        <v>270023</v>
      </c>
      <c r="D38" s="20">
        <v>2101008</v>
      </c>
      <c r="E38" s="20"/>
      <c r="F38" s="21">
        <f t="shared" si="7"/>
        <v>49511353.350000001</v>
      </c>
      <c r="G38" s="21">
        <v>49021141.93</v>
      </c>
      <c r="H38" s="22">
        <v>490211.42</v>
      </c>
      <c r="I38" s="21">
        <f t="shared" si="1"/>
        <v>55730367.254000001</v>
      </c>
      <c r="J38" s="21">
        <f t="shared" si="8"/>
        <v>31120066.439999998</v>
      </c>
      <c r="K38" s="21">
        <v>18188248.909999996</v>
      </c>
      <c r="L38" s="21">
        <v>10895178.449999999</v>
      </c>
      <c r="M38" s="21">
        <v>2036639.08</v>
      </c>
      <c r="N38" s="21">
        <v>719007.39000000013</v>
      </c>
      <c r="O38" s="21">
        <f t="shared" si="2"/>
        <v>23891293.424000002</v>
      </c>
      <c r="P38" s="21">
        <v>8142154.0040000007</v>
      </c>
      <c r="Q38" s="21">
        <v>9861566.8200000003</v>
      </c>
      <c r="R38" s="21">
        <v>5887572.5999999996</v>
      </c>
      <c r="S38" s="23"/>
      <c r="T38" s="24">
        <f t="shared" si="12"/>
        <v>105241720.604</v>
      </c>
      <c r="U38" s="21">
        <f t="shared" si="9"/>
        <v>15276093.820000041</v>
      </c>
      <c r="V38" s="21">
        <f t="shared" si="10"/>
        <v>15276093.820000041</v>
      </c>
      <c r="W38" s="21"/>
      <c r="X38" s="24">
        <f t="shared" si="4"/>
        <v>15276093.820000041</v>
      </c>
      <c r="Y38" s="21"/>
      <c r="Z38" s="21">
        <v>15276093.820000041</v>
      </c>
      <c r="AA38" s="21"/>
      <c r="AB38" s="24">
        <f t="shared" si="11"/>
        <v>0</v>
      </c>
      <c r="AC38" s="21"/>
      <c r="AD38" s="21"/>
      <c r="AE38" s="21"/>
      <c r="AF38" s="21"/>
      <c r="AG38" s="21"/>
      <c r="AH38" s="21"/>
      <c r="AI38" s="21"/>
      <c r="AJ38" s="25">
        <f t="shared" si="5"/>
        <v>120517814.42400004</v>
      </c>
    </row>
    <row r="39" spans="1:36" ht="37.5" x14ac:dyDescent="0.3">
      <c r="A39" s="17">
        <f t="shared" si="6"/>
        <v>30</v>
      </c>
      <c r="B39" s="28" t="s">
        <v>95</v>
      </c>
      <c r="C39" s="19">
        <v>270024</v>
      </c>
      <c r="D39" s="20">
        <v>2101011</v>
      </c>
      <c r="E39" s="20">
        <v>1</v>
      </c>
      <c r="F39" s="21">
        <f t="shared" si="7"/>
        <v>200228545.30000001</v>
      </c>
      <c r="G39" s="21">
        <v>194396645.92000002</v>
      </c>
      <c r="H39" s="22">
        <v>5831899.3799999999</v>
      </c>
      <c r="I39" s="21">
        <f t="shared" si="1"/>
        <v>296934518.48518002</v>
      </c>
      <c r="J39" s="21">
        <f t="shared" si="8"/>
        <v>176006247.87518001</v>
      </c>
      <c r="K39" s="21">
        <f>164894071.57518-10450000</f>
        <v>154444071.57517999</v>
      </c>
      <c r="L39" s="21">
        <v>13669009.120000001</v>
      </c>
      <c r="M39" s="21">
        <v>7893167.1799999997</v>
      </c>
      <c r="N39" s="21">
        <v>4431094.78</v>
      </c>
      <c r="O39" s="21">
        <f t="shared" si="2"/>
        <v>116497175.83000001</v>
      </c>
      <c r="P39" s="21">
        <f>3351494.25000001-570420</f>
        <v>2781074.2500000098</v>
      </c>
      <c r="Q39" s="21">
        <v>53890194.18</v>
      </c>
      <c r="R39" s="21">
        <v>59825907.399999999</v>
      </c>
      <c r="S39" s="23"/>
      <c r="T39" s="24">
        <f t="shared" si="12"/>
        <v>497163063.78518003</v>
      </c>
      <c r="U39" s="21">
        <f t="shared" si="9"/>
        <v>89430104.747087985</v>
      </c>
      <c r="V39" s="21">
        <f t="shared" si="10"/>
        <v>89430104.747087985</v>
      </c>
      <c r="W39" s="21"/>
      <c r="X39" s="24">
        <f t="shared" si="4"/>
        <v>89430104.747087985</v>
      </c>
      <c r="Y39" s="21"/>
      <c r="Z39" s="21">
        <v>89430104.747087985</v>
      </c>
      <c r="AA39" s="21"/>
      <c r="AB39" s="24">
        <f t="shared" si="11"/>
        <v>0</v>
      </c>
      <c r="AC39" s="21"/>
      <c r="AD39" s="21"/>
      <c r="AE39" s="21"/>
      <c r="AF39" s="21"/>
      <c r="AG39" s="21"/>
      <c r="AH39" s="21"/>
      <c r="AI39" s="21"/>
      <c r="AJ39" s="25">
        <f t="shared" si="5"/>
        <v>586593168.53226805</v>
      </c>
    </row>
    <row r="40" spans="1:36" ht="37.5" x14ac:dyDescent="0.3">
      <c r="A40" s="17">
        <f t="shared" si="6"/>
        <v>31</v>
      </c>
      <c r="B40" s="28" t="s">
        <v>96</v>
      </c>
      <c r="C40" s="19">
        <v>270025</v>
      </c>
      <c r="D40" s="20">
        <v>2101015</v>
      </c>
      <c r="E40" s="20">
        <v>1</v>
      </c>
      <c r="F40" s="21">
        <f t="shared" si="7"/>
        <v>55307068.809999995</v>
      </c>
      <c r="G40" s="21">
        <v>53696183.309999995</v>
      </c>
      <c r="H40" s="22">
        <v>1610885.5</v>
      </c>
      <c r="I40" s="21">
        <f t="shared" si="1"/>
        <v>87927229.151246101</v>
      </c>
      <c r="J40" s="21">
        <f t="shared" si="8"/>
        <v>48803540.421246096</v>
      </c>
      <c r="K40" s="21">
        <f>31809947.3872589-1000000</f>
        <v>30809947.387258898</v>
      </c>
      <c r="L40" s="21">
        <v>16439406.863987198</v>
      </c>
      <c r="M40" s="21">
        <v>1554186.17</v>
      </c>
      <c r="N40" s="21">
        <v>766522</v>
      </c>
      <c r="O40" s="21">
        <f t="shared" si="2"/>
        <v>38357166.729999997</v>
      </c>
      <c r="P40" s="21">
        <v>14551386.399999995</v>
      </c>
      <c r="Q40" s="21">
        <v>13154868.450000001</v>
      </c>
      <c r="R40" s="21">
        <v>10650911.880000001</v>
      </c>
      <c r="S40" s="23"/>
      <c r="T40" s="24">
        <f t="shared" si="12"/>
        <v>143234297.9612461</v>
      </c>
      <c r="U40" s="21">
        <f t="shared" si="9"/>
        <v>14171366.16</v>
      </c>
      <c r="V40" s="21">
        <f t="shared" si="10"/>
        <v>14171366.16</v>
      </c>
      <c r="W40" s="21"/>
      <c r="X40" s="24">
        <f t="shared" si="4"/>
        <v>14171366.16</v>
      </c>
      <c r="Y40" s="21"/>
      <c r="Z40" s="21">
        <v>14171366.16</v>
      </c>
      <c r="AA40" s="21"/>
      <c r="AB40" s="24">
        <f t="shared" si="11"/>
        <v>0</v>
      </c>
      <c r="AC40" s="21"/>
      <c r="AD40" s="21"/>
      <c r="AE40" s="21"/>
      <c r="AF40" s="21"/>
      <c r="AG40" s="21"/>
      <c r="AH40" s="21"/>
      <c r="AI40" s="21"/>
      <c r="AJ40" s="25">
        <f t="shared" si="5"/>
        <v>157405664.1212461</v>
      </c>
    </row>
    <row r="41" spans="1:36" ht="37.5" x14ac:dyDescent="0.3">
      <c r="A41" s="17">
        <f t="shared" si="6"/>
        <v>32</v>
      </c>
      <c r="B41" s="18" t="s">
        <v>97</v>
      </c>
      <c r="C41" s="19">
        <v>270026</v>
      </c>
      <c r="D41" s="20">
        <v>2101016</v>
      </c>
      <c r="E41" s="20">
        <v>1</v>
      </c>
      <c r="F41" s="21">
        <f t="shared" si="7"/>
        <v>44981993.509999998</v>
      </c>
      <c r="G41" s="21">
        <v>43671838.359999999</v>
      </c>
      <c r="H41" s="22">
        <v>1310155.1499999999</v>
      </c>
      <c r="I41" s="21">
        <f t="shared" si="1"/>
        <v>132798384.66030979</v>
      </c>
      <c r="J41" s="21">
        <f t="shared" si="8"/>
        <v>85689086.160309792</v>
      </c>
      <c r="K41" s="21">
        <f>77175118.6403098-3900000</f>
        <v>73275118.640309796</v>
      </c>
      <c r="L41" s="21">
        <v>6397270.8800000008</v>
      </c>
      <c r="M41" s="21">
        <v>6016696.6399999997</v>
      </c>
      <c r="N41" s="21">
        <v>2430364.5</v>
      </c>
      <c r="O41" s="21">
        <f t="shared" si="2"/>
        <v>44678934</v>
      </c>
      <c r="P41" s="21">
        <v>19014</v>
      </c>
      <c r="Q41" s="21">
        <v>14023230</v>
      </c>
      <c r="R41" s="21">
        <v>30636690</v>
      </c>
      <c r="S41" s="23"/>
      <c r="T41" s="24">
        <f t="shared" si="12"/>
        <v>177780378.17030978</v>
      </c>
      <c r="U41" s="21">
        <f t="shared" si="9"/>
        <v>37114931.700000003</v>
      </c>
      <c r="V41" s="21">
        <f t="shared" si="10"/>
        <v>37114931.700000003</v>
      </c>
      <c r="W41" s="21"/>
      <c r="X41" s="24">
        <f t="shared" si="4"/>
        <v>37114931.700000003</v>
      </c>
      <c r="Y41" s="21"/>
      <c r="Z41" s="21">
        <v>37114931.700000003</v>
      </c>
      <c r="AA41" s="21"/>
      <c r="AB41" s="24">
        <f t="shared" si="11"/>
        <v>0</v>
      </c>
      <c r="AC41" s="21"/>
      <c r="AD41" s="21"/>
      <c r="AE41" s="21"/>
      <c r="AF41" s="21"/>
      <c r="AG41" s="21"/>
      <c r="AH41" s="21"/>
      <c r="AI41" s="21"/>
      <c r="AJ41" s="25">
        <f t="shared" si="5"/>
        <v>214895309.87030977</v>
      </c>
    </row>
    <row r="42" spans="1:36" ht="37.5" x14ac:dyDescent="0.3">
      <c r="A42" s="17">
        <f t="shared" si="6"/>
        <v>33</v>
      </c>
      <c r="B42" s="28" t="s">
        <v>98</v>
      </c>
      <c r="C42" s="19">
        <v>270027</v>
      </c>
      <c r="D42" s="20">
        <v>2107018</v>
      </c>
      <c r="E42" s="20"/>
      <c r="F42" s="21">
        <f t="shared" si="7"/>
        <v>0</v>
      </c>
      <c r="G42" s="21"/>
      <c r="H42" s="22"/>
      <c r="I42" s="21">
        <f t="shared" si="1"/>
        <v>104687923.19999999</v>
      </c>
      <c r="J42" s="21">
        <f t="shared" si="8"/>
        <v>0</v>
      </c>
      <c r="K42" s="21"/>
      <c r="L42" s="21"/>
      <c r="M42" s="21"/>
      <c r="N42" s="21"/>
      <c r="O42" s="21">
        <f t="shared" si="2"/>
        <v>104687923.19999999</v>
      </c>
      <c r="P42" s="21">
        <v>104687923.19999999</v>
      </c>
      <c r="Q42" s="21">
        <v>0</v>
      </c>
      <c r="R42" s="21"/>
      <c r="S42" s="23"/>
      <c r="T42" s="24">
        <f t="shared" si="12"/>
        <v>104687923.19999999</v>
      </c>
      <c r="U42" s="21">
        <f t="shared" si="9"/>
        <v>0</v>
      </c>
      <c r="V42" s="21">
        <f t="shared" si="10"/>
        <v>0</v>
      </c>
      <c r="W42" s="21"/>
      <c r="X42" s="24">
        <f t="shared" si="4"/>
        <v>0</v>
      </c>
      <c r="Y42" s="21"/>
      <c r="Z42" s="21"/>
      <c r="AA42" s="21"/>
      <c r="AB42" s="24">
        <f t="shared" si="11"/>
        <v>0</v>
      </c>
      <c r="AC42" s="21"/>
      <c r="AD42" s="21"/>
      <c r="AE42" s="21"/>
      <c r="AF42" s="21"/>
      <c r="AG42" s="21"/>
      <c r="AH42" s="21"/>
      <c r="AI42" s="21"/>
      <c r="AJ42" s="25">
        <f t="shared" si="5"/>
        <v>104687923.19999999</v>
      </c>
    </row>
    <row r="43" spans="1:36" ht="37.5" x14ac:dyDescent="0.3">
      <c r="A43" s="17">
        <f t="shared" si="6"/>
        <v>34</v>
      </c>
      <c r="B43" s="28" t="s">
        <v>99</v>
      </c>
      <c r="C43" s="19">
        <v>270028</v>
      </c>
      <c r="D43" s="20">
        <v>2107019</v>
      </c>
      <c r="E43" s="20"/>
      <c r="F43" s="21">
        <f t="shared" si="7"/>
        <v>0</v>
      </c>
      <c r="G43" s="21"/>
      <c r="H43" s="22"/>
      <c r="I43" s="21">
        <f t="shared" si="1"/>
        <v>80762729.599999994</v>
      </c>
      <c r="J43" s="21">
        <f t="shared" si="8"/>
        <v>0</v>
      </c>
      <c r="K43" s="21"/>
      <c r="L43" s="21"/>
      <c r="M43" s="21"/>
      <c r="N43" s="21"/>
      <c r="O43" s="21">
        <f t="shared" si="2"/>
        <v>80762729.599999994</v>
      </c>
      <c r="P43" s="21">
        <v>80762729.599999994</v>
      </c>
      <c r="Q43" s="21">
        <v>0</v>
      </c>
      <c r="R43" s="21"/>
      <c r="S43" s="23"/>
      <c r="T43" s="24">
        <f t="shared" si="12"/>
        <v>80762729.599999994</v>
      </c>
      <c r="U43" s="21">
        <f t="shared" si="9"/>
        <v>0</v>
      </c>
      <c r="V43" s="21">
        <f t="shared" si="10"/>
        <v>0</v>
      </c>
      <c r="W43" s="21"/>
      <c r="X43" s="24">
        <f t="shared" si="4"/>
        <v>0</v>
      </c>
      <c r="Y43" s="21"/>
      <c r="Z43" s="21"/>
      <c r="AA43" s="21"/>
      <c r="AB43" s="24">
        <f t="shared" si="11"/>
        <v>0</v>
      </c>
      <c r="AC43" s="21"/>
      <c r="AD43" s="21"/>
      <c r="AE43" s="21"/>
      <c r="AF43" s="21"/>
      <c r="AG43" s="21"/>
      <c r="AH43" s="21"/>
      <c r="AI43" s="21"/>
      <c r="AJ43" s="25">
        <f t="shared" si="5"/>
        <v>80762729.599999994</v>
      </c>
    </row>
    <row r="44" spans="1:36" ht="56.25" x14ac:dyDescent="0.3">
      <c r="A44" s="17">
        <f t="shared" si="6"/>
        <v>35</v>
      </c>
      <c r="B44" s="18" t="s">
        <v>100</v>
      </c>
      <c r="C44" s="19">
        <v>270030</v>
      </c>
      <c r="D44" s="20">
        <v>2107802</v>
      </c>
      <c r="E44" s="20"/>
      <c r="F44" s="21">
        <f t="shared" si="7"/>
        <v>0</v>
      </c>
      <c r="G44" s="21"/>
      <c r="H44" s="22"/>
      <c r="I44" s="21">
        <f t="shared" si="1"/>
        <v>82066045.599999994</v>
      </c>
      <c r="J44" s="21">
        <f t="shared" si="8"/>
        <v>0</v>
      </c>
      <c r="K44" s="21"/>
      <c r="L44" s="21"/>
      <c r="M44" s="21"/>
      <c r="N44" s="21"/>
      <c r="O44" s="21">
        <f t="shared" si="2"/>
        <v>82066045.599999994</v>
      </c>
      <c r="P44" s="21">
        <v>82066045.599999994</v>
      </c>
      <c r="Q44" s="21">
        <v>0</v>
      </c>
      <c r="R44" s="21"/>
      <c r="S44" s="23"/>
      <c r="T44" s="24">
        <f t="shared" si="12"/>
        <v>82066045.599999994</v>
      </c>
      <c r="U44" s="21">
        <f t="shared" si="9"/>
        <v>0</v>
      </c>
      <c r="V44" s="21">
        <f t="shared" si="10"/>
        <v>0</v>
      </c>
      <c r="W44" s="21"/>
      <c r="X44" s="24">
        <f t="shared" si="4"/>
        <v>0</v>
      </c>
      <c r="Y44" s="21"/>
      <c r="Z44" s="21"/>
      <c r="AA44" s="21"/>
      <c r="AB44" s="24">
        <f t="shared" si="11"/>
        <v>0</v>
      </c>
      <c r="AC44" s="21"/>
      <c r="AD44" s="21"/>
      <c r="AE44" s="21"/>
      <c r="AF44" s="21"/>
      <c r="AG44" s="21"/>
      <c r="AH44" s="21"/>
      <c r="AI44" s="21"/>
      <c r="AJ44" s="25">
        <f t="shared" si="5"/>
        <v>82066045.599999994</v>
      </c>
    </row>
    <row r="45" spans="1:36" ht="37.5" x14ac:dyDescent="0.3">
      <c r="A45" s="17">
        <f t="shared" si="6"/>
        <v>36</v>
      </c>
      <c r="B45" s="18" t="s">
        <v>101</v>
      </c>
      <c r="C45" s="19">
        <v>270035</v>
      </c>
      <c r="D45" s="20">
        <v>2201001</v>
      </c>
      <c r="E45" s="20">
        <v>1</v>
      </c>
      <c r="F45" s="21">
        <f t="shared" si="7"/>
        <v>116436145.90000001</v>
      </c>
      <c r="G45" s="21">
        <v>113044801.84</v>
      </c>
      <c r="H45" s="22">
        <v>3391344.06</v>
      </c>
      <c r="I45" s="21">
        <f t="shared" si="1"/>
        <v>75940800.007043183</v>
      </c>
      <c r="J45" s="21">
        <f t="shared" si="8"/>
        <v>61108219.407043189</v>
      </c>
      <c r="K45" s="21">
        <v>1275307.8770432002</v>
      </c>
      <c r="L45" s="21">
        <v>59832911.529999986</v>
      </c>
      <c r="M45" s="21"/>
      <c r="N45" s="21">
        <v>960370</v>
      </c>
      <c r="O45" s="21">
        <f t="shared" si="2"/>
        <v>13872210.6</v>
      </c>
      <c r="P45" s="21">
        <v>0</v>
      </c>
      <c r="Q45" s="21">
        <v>13872210.6</v>
      </c>
      <c r="R45" s="21"/>
      <c r="S45" s="23"/>
      <c r="T45" s="24">
        <f t="shared" si="12"/>
        <v>192376945.90704319</v>
      </c>
      <c r="U45" s="21">
        <f t="shared" si="9"/>
        <v>15293325.6</v>
      </c>
      <c r="V45" s="21">
        <f t="shared" si="10"/>
        <v>15293325.6</v>
      </c>
      <c r="W45" s="21"/>
      <c r="X45" s="24">
        <f t="shared" si="4"/>
        <v>15293325.6</v>
      </c>
      <c r="Y45" s="21"/>
      <c r="Z45" s="21">
        <v>15293325.6</v>
      </c>
      <c r="AA45" s="21"/>
      <c r="AB45" s="24">
        <f t="shared" si="11"/>
        <v>0</v>
      </c>
      <c r="AC45" s="21"/>
      <c r="AD45" s="21"/>
      <c r="AE45" s="21"/>
      <c r="AF45" s="21"/>
      <c r="AG45" s="21"/>
      <c r="AH45" s="21"/>
      <c r="AI45" s="21"/>
      <c r="AJ45" s="25">
        <f t="shared" si="5"/>
        <v>207670271.50704318</v>
      </c>
    </row>
    <row r="46" spans="1:36" ht="56.25" x14ac:dyDescent="0.3">
      <c r="A46" s="17">
        <f t="shared" si="6"/>
        <v>37</v>
      </c>
      <c r="B46" s="18" t="s">
        <v>102</v>
      </c>
      <c r="C46" s="19">
        <v>270036</v>
      </c>
      <c r="D46" s="20">
        <v>2201003</v>
      </c>
      <c r="E46" s="20">
        <v>1</v>
      </c>
      <c r="F46" s="21">
        <f t="shared" si="7"/>
        <v>65736138.280000001</v>
      </c>
      <c r="G46" s="21">
        <v>63821493.480000004</v>
      </c>
      <c r="H46" s="22">
        <v>1914644.8</v>
      </c>
      <c r="I46" s="21">
        <f t="shared" si="1"/>
        <v>83798433.372235999</v>
      </c>
      <c r="J46" s="21">
        <f t="shared" si="8"/>
        <v>54388293.272235997</v>
      </c>
      <c r="K46" s="21">
        <v>2137589.9075440001</v>
      </c>
      <c r="L46" s="21">
        <v>52250703.364691995</v>
      </c>
      <c r="M46" s="21"/>
      <c r="N46" s="21">
        <v>3121977.4</v>
      </c>
      <c r="O46" s="21">
        <f t="shared" si="2"/>
        <v>26288162.699999999</v>
      </c>
      <c r="P46" s="21">
        <v>0</v>
      </c>
      <c r="Q46" s="21">
        <v>26288162.699999999</v>
      </c>
      <c r="R46" s="21"/>
      <c r="S46" s="23"/>
      <c r="T46" s="24">
        <f t="shared" si="12"/>
        <v>149534571.65223598</v>
      </c>
      <c r="U46" s="21">
        <f t="shared" si="9"/>
        <v>35927882.921159998</v>
      </c>
      <c r="V46" s="21">
        <f t="shared" si="10"/>
        <v>35927882.921159998</v>
      </c>
      <c r="W46" s="21"/>
      <c r="X46" s="24">
        <f t="shared" si="4"/>
        <v>35927882.921159998</v>
      </c>
      <c r="Y46" s="21"/>
      <c r="Z46" s="21">
        <v>35927882.921159998</v>
      </c>
      <c r="AA46" s="21"/>
      <c r="AB46" s="24">
        <f t="shared" si="11"/>
        <v>0</v>
      </c>
      <c r="AC46" s="21"/>
      <c r="AD46" s="21"/>
      <c r="AE46" s="21"/>
      <c r="AF46" s="21"/>
      <c r="AG46" s="21"/>
      <c r="AH46" s="21"/>
      <c r="AI46" s="21"/>
      <c r="AJ46" s="25">
        <f t="shared" si="5"/>
        <v>185462454.57339597</v>
      </c>
    </row>
    <row r="47" spans="1:36" ht="37.5" x14ac:dyDescent="0.3">
      <c r="A47" s="17">
        <f t="shared" si="6"/>
        <v>38</v>
      </c>
      <c r="B47" s="18" t="s">
        <v>103</v>
      </c>
      <c r="C47" s="19">
        <v>270037</v>
      </c>
      <c r="D47" s="20">
        <v>2201017</v>
      </c>
      <c r="E47" s="20">
        <v>1</v>
      </c>
      <c r="F47" s="21">
        <f>G47+H47</f>
        <v>90490825.780000001</v>
      </c>
      <c r="G47" s="21">
        <v>87855170.659999996</v>
      </c>
      <c r="H47" s="22">
        <v>2635655.12</v>
      </c>
      <c r="I47" s="21">
        <f t="shared" si="1"/>
        <v>84995757.842284799</v>
      </c>
      <c r="J47" s="21">
        <f t="shared" si="8"/>
        <v>56377011.392284788</v>
      </c>
      <c r="K47" s="21">
        <v>826051.69308480003</v>
      </c>
      <c r="L47" s="21">
        <v>55550959.699199989</v>
      </c>
      <c r="M47" s="21"/>
      <c r="N47" s="21">
        <f>4540323+59701.4</f>
        <v>4600024.4000000004</v>
      </c>
      <c r="O47" s="21">
        <f t="shared" si="2"/>
        <v>24018722.050000001</v>
      </c>
      <c r="P47" s="21">
        <f>5410007.05+1349355</f>
        <v>6759362.0499999998</v>
      </c>
      <c r="Q47" s="21">
        <v>17259360</v>
      </c>
      <c r="R47" s="21"/>
      <c r="S47" s="23"/>
      <c r="T47" s="24">
        <f t="shared" si="12"/>
        <v>175486583.6222848</v>
      </c>
      <c r="U47" s="21">
        <f t="shared" si="9"/>
        <v>15623685</v>
      </c>
      <c r="V47" s="21">
        <f t="shared" si="10"/>
        <v>15623685</v>
      </c>
      <c r="W47" s="21"/>
      <c r="X47" s="24">
        <f t="shared" si="4"/>
        <v>15623685</v>
      </c>
      <c r="Y47" s="21"/>
      <c r="Z47" s="21">
        <v>15623685</v>
      </c>
      <c r="AA47" s="21"/>
      <c r="AB47" s="24">
        <f t="shared" si="11"/>
        <v>0</v>
      </c>
      <c r="AC47" s="21"/>
      <c r="AD47" s="21"/>
      <c r="AE47" s="21"/>
      <c r="AF47" s="21"/>
      <c r="AG47" s="21"/>
      <c r="AH47" s="21"/>
      <c r="AI47" s="21"/>
      <c r="AJ47" s="25">
        <f t="shared" si="5"/>
        <v>191110268.6222848</v>
      </c>
    </row>
    <row r="48" spans="1:36" ht="37.5" x14ac:dyDescent="0.3">
      <c r="A48" s="17">
        <f t="shared" si="6"/>
        <v>39</v>
      </c>
      <c r="B48" s="18" t="s">
        <v>104</v>
      </c>
      <c r="C48" s="19">
        <v>270039</v>
      </c>
      <c r="D48" s="20">
        <v>2207022</v>
      </c>
      <c r="E48" s="20"/>
      <c r="F48" s="21">
        <f t="shared" si="7"/>
        <v>0</v>
      </c>
      <c r="G48" s="21"/>
      <c r="H48" s="22"/>
      <c r="I48" s="21">
        <f t="shared" si="1"/>
        <v>80598506.799999997</v>
      </c>
      <c r="J48" s="21">
        <f t="shared" si="8"/>
        <v>0</v>
      </c>
      <c r="K48" s="21"/>
      <c r="L48" s="21"/>
      <c r="M48" s="21"/>
      <c r="N48" s="21"/>
      <c r="O48" s="21">
        <f t="shared" si="2"/>
        <v>80598506.799999997</v>
      </c>
      <c r="P48" s="21">
        <f>78106506.8+2492000</f>
        <v>80598506.799999997</v>
      </c>
      <c r="Q48" s="21">
        <v>0</v>
      </c>
      <c r="R48" s="21"/>
      <c r="S48" s="23"/>
      <c r="T48" s="24">
        <f t="shared" si="12"/>
        <v>80598506.799999997</v>
      </c>
      <c r="U48" s="21">
        <f t="shared" si="9"/>
        <v>0</v>
      </c>
      <c r="V48" s="21">
        <f t="shared" si="10"/>
        <v>0</v>
      </c>
      <c r="W48" s="21"/>
      <c r="X48" s="24">
        <f t="shared" si="4"/>
        <v>0</v>
      </c>
      <c r="Y48" s="21"/>
      <c r="Z48" s="21"/>
      <c r="AA48" s="21"/>
      <c r="AB48" s="24">
        <f t="shared" si="11"/>
        <v>0</v>
      </c>
      <c r="AC48" s="21"/>
      <c r="AD48" s="21"/>
      <c r="AE48" s="21"/>
      <c r="AF48" s="21"/>
      <c r="AG48" s="21"/>
      <c r="AH48" s="21"/>
      <c r="AI48" s="21"/>
      <c r="AJ48" s="25">
        <f t="shared" si="5"/>
        <v>80598506.799999997</v>
      </c>
    </row>
    <row r="49" spans="1:36" ht="37.5" x14ac:dyDescent="0.3">
      <c r="A49" s="17">
        <f t="shared" si="6"/>
        <v>40</v>
      </c>
      <c r="B49" s="18" t="s">
        <v>105</v>
      </c>
      <c r="C49" s="19">
        <v>270038</v>
      </c>
      <c r="D49" s="20">
        <v>2201024</v>
      </c>
      <c r="E49" s="20">
        <v>1</v>
      </c>
      <c r="F49" s="21">
        <f t="shared" si="7"/>
        <v>68978598.299999997</v>
      </c>
      <c r="G49" s="21">
        <v>66969512.909999996</v>
      </c>
      <c r="H49" s="22">
        <v>2009085.39</v>
      </c>
      <c r="I49" s="21">
        <f t="shared" si="1"/>
        <v>69897361.854103997</v>
      </c>
      <c r="J49" s="21">
        <f t="shared" si="8"/>
        <v>58085062.384103991</v>
      </c>
      <c r="K49" s="21">
        <v>688376.41090400005</v>
      </c>
      <c r="L49" s="21">
        <v>57396685.973199993</v>
      </c>
      <c r="M49" s="21"/>
      <c r="N49" s="21">
        <v>855842</v>
      </c>
      <c r="O49" s="21">
        <f t="shared" si="2"/>
        <v>10956457.470000001</v>
      </c>
      <c r="P49" s="21">
        <v>0</v>
      </c>
      <c r="Q49" s="21">
        <v>10956457.470000001</v>
      </c>
      <c r="R49" s="21"/>
      <c r="S49" s="23"/>
      <c r="T49" s="24">
        <f t="shared" si="12"/>
        <v>138875960.15410399</v>
      </c>
      <c r="U49" s="21">
        <f t="shared" si="9"/>
        <v>14723508.239999998</v>
      </c>
      <c r="V49" s="21">
        <f t="shared" si="10"/>
        <v>14723508.239999998</v>
      </c>
      <c r="W49" s="21"/>
      <c r="X49" s="24">
        <f t="shared" si="4"/>
        <v>14723508.239999998</v>
      </c>
      <c r="Y49" s="21"/>
      <c r="Z49" s="21">
        <v>14723508.239999998</v>
      </c>
      <c r="AA49" s="21"/>
      <c r="AB49" s="24">
        <f t="shared" si="11"/>
        <v>0</v>
      </c>
      <c r="AC49" s="21"/>
      <c r="AD49" s="21"/>
      <c r="AE49" s="21"/>
      <c r="AF49" s="21"/>
      <c r="AG49" s="21"/>
      <c r="AH49" s="21"/>
      <c r="AI49" s="21"/>
      <c r="AJ49" s="25">
        <f t="shared" si="5"/>
        <v>153599468.394104</v>
      </c>
    </row>
    <row r="50" spans="1:36" ht="37.5" x14ac:dyDescent="0.3">
      <c r="A50" s="17">
        <f t="shared" si="6"/>
        <v>41</v>
      </c>
      <c r="B50" s="18" t="s">
        <v>106</v>
      </c>
      <c r="C50" s="19">
        <v>270042</v>
      </c>
      <c r="D50" s="20">
        <v>4346001</v>
      </c>
      <c r="E50" s="20">
        <v>1</v>
      </c>
      <c r="F50" s="21">
        <f t="shared" si="7"/>
        <v>12769824.279999999</v>
      </c>
      <c r="G50" s="21">
        <v>12397887.649999999</v>
      </c>
      <c r="H50" s="22">
        <v>371936.63</v>
      </c>
      <c r="I50" s="21">
        <f t="shared" si="1"/>
        <v>111969705.38641885</v>
      </c>
      <c r="J50" s="21">
        <f t="shared" si="8"/>
        <v>61423705.208181798</v>
      </c>
      <c r="K50" s="21">
        <f>47092868.7733818-2425000</f>
        <v>44667868.773381799</v>
      </c>
      <c r="L50" s="21">
        <v>14607269.534799999</v>
      </c>
      <c r="M50" s="21">
        <v>2148566.9</v>
      </c>
      <c r="N50" s="21">
        <f>8233187.78823705-1091777.86</f>
        <v>7141409.9282370498</v>
      </c>
      <c r="O50" s="21">
        <f t="shared" si="2"/>
        <v>43404590.25</v>
      </c>
      <c r="P50" s="21">
        <f>15124262.05-602745</f>
        <v>14521517.050000001</v>
      </c>
      <c r="Q50" s="21">
        <v>19416780</v>
      </c>
      <c r="R50" s="21">
        <v>9466293.1999999993</v>
      </c>
      <c r="S50" s="23"/>
      <c r="T50" s="24">
        <f t="shared" si="12"/>
        <v>124739529.66641885</v>
      </c>
      <c r="U50" s="21">
        <f t="shared" si="9"/>
        <v>360206359.127388</v>
      </c>
      <c r="V50" s="21">
        <f t="shared" si="10"/>
        <v>257537083.14738798</v>
      </c>
      <c r="W50" s="21">
        <v>230508608.21162</v>
      </c>
      <c r="X50" s="24">
        <f t="shared" si="4"/>
        <v>27028474.935767993</v>
      </c>
      <c r="Y50" s="21">
        <v>6296818.5</v>
      </c>
      <c r="Z50" s="21">
        <v>20731656.435767993</v>
      </c>
      <c r="AA50" s="21">
        <v>102669275.98</v>
      </c>
      <c r="AB50" s="24">
        <f t="shared" si="11"/>
        <v>333177884.19161999</v>
      </c>
      <c r="AC50" s="21"/>
      <c r="AD50" s="21"/>
      <c r="AE50" s="21"/>
      <c r="AF50" s="21"/>
      <c r="AG50" s="21"/>
      <c r="AH50" s="21"/>
      <c r="AI50" s="21">
        <v>37577234.700000003</v>
      </c>
      <c r="AJ50" s="25">
        <f t="shared" si="5"/>
        <v>522523123.49380684</v>
      </c>
    </row>
    <row r="51" spans="1:36" ht="37.5" x14ac:dyDescent="0.3">
      <c r="A51" s="17">
        <f t="shared" si="6"/>
        <v>42</v>
      </c>
      <c r="B51" s="18" t="s">
        <v>107</v>
      </c>
      <c r="C51" s="19">
        <v>270043</v>
      </c>
      <c r="D51" s="20">
        <v>6341001</v>
      </c>
      <c r="E51" s="20">
        <v>1</v>
      </c>
      <c r="F51" s="21">
        <f t="shared" si="7"/>
        <v>1051491.6600000001</v>
      </c>
      <c r="G51" s="21">
        <v>1020865.6900000002</v>
      </c>
      <c r="H51" s="22">
        <v>30625.97</v>
      </c>
      <c r="I51" s="21">
        <f t="shared" si="1"/>
        <v>8514150.1885337606</v>
      </c>
      <c r="J51" s="21">
        <f t="shared" si="8"/>
        <v>4307776.50853376</v>
      </c>
      <c r="K51" s="21">
        <f>3859728.48194976-400000</f>
        <v>3459728.4819497601</v>
      </c>
      <c r="L51" s="21">
        <v>528881.93658400001</v>
      </c>
      <c r="M51" s="21">
        <v>319166.09000000003</v>
      </c>
      <c r="N51" s="21">
        <v>630108</v>
      </c>
      <c r="O51" s="21">
        <f t="shared" si="2"/>
        <v>3576265.6799999997</v>
      </c>
      <c r="P51" s="21">
        <v>1421087.9999999998</v>
      </c>
      <c r="Q51" s="21">
        <v>215742</v>
      </c>
      <c r="R51" s="21">
        <v>1939435.68</v>
      </c>
      <c r="S51" s="23"/>
      <c r="T51" s="24">
        <f t="shared" si="12"/>
        <v>9565641.8485337608</v>
      </c>
      <c r="U51" s="21">
        <f t="shared" si="9"/>
        <v>5201582.4000000004</v>
      </c>
      <c r="V51" s="21">
        <f t="shared" si="10"/>
        <v>5201582.4000000004</v>
      </c>
      <c r="W51" s="21"/>
      <c r="X51" s="24">
        <f t="shared" si="4"/>
        <v>5201582.4000000004</v>
      </c>
      <c r="Y51" s="21"/>
      <c r="Z51" s="21">
        <v>5201582.4000000004</v>
      </c>
      <c r="AA51" s="21"/>
      <c r="AB51" s="24">
        <f t="shared" si="11"/>
        <v>0</v>
      </c>
      <c r="AC51" s="21"/>
      <c r="AD51" s="21"/>
      <c r="AE51" s="21"/>
      <c r="AF51" s="21"/>
      <c r="AG51" s="21"/>
      <c r="AH51" s="21"/>
      <c r="AI51" s="21"/>
      <c r="AJ51" s="25">
        <f t="shared" si="5"/>
        <v>14767224.248533761</v>
      </c>
    </row>
    <row r="52" spans="1:36" ht="37.5" x14ac:dyDescent="0.3">
      <c r="A52" s="17">
        <f t="shared" si="6"/>
        <v>43</v>
      </c>
      <c r="B52" s="18" t="s">
        <v>108</v>
      </c>
      <c r="C52" s="19">
        <v>270123</v>
      </c>
      <c r="D52" s="20">
        <v>8156001</v>
      </c>
      <c r="E52" s="20">
        <v>1</v>
      </c>
      <c r="F52" s="21">
        <f t="shared" si="7"/>
        <v>2884978.3100000005</v>
      </c>
      <c r="G52" s="21">
        <v>2800949.8200000003</v>
      </c>
      <c r="H52" s="22">
        <v>84028.49</v>
      </c>
      <c r="I52" s="21">
        <f t="shared" si="1"/>
        <v>21716855.909499496</v>
      </c>
      <c r="J52" s="21">
        <f t="shared" si="8"/>
        <v>13576940.479499498</v>
      </c>
      <c r="K52" s="21">
        <f>12633955.9994995-1010000</f>
        <v>11623955.9994995</v>
      </c>
      <c r="L52" s="21">
        <v>1047671.04</v>
      </c>
      <c r="M52" s="21">
        <v>905313.44</v>
      </c>
      <c r="N52" s="21">
        <v>472581</v>
      </c>
      <c r="O52" s="21">
        <f t="shared" si="2"/>
        <v>7667334.4299999997</v>
      </c>
      <c r="P52" s="21">
        <f>2163796.3-36134</f>
        <v>2127662.2999999998</v>
      </c>
      <c r="Q52" s="21">
        <v>719499.57000000007</v>
      </c>
      <c r="R52" s="21">
        <v>4820172.5599999996</v>
      </c>
      <c r="S52" s="23"/>
      <c r="T52" s="24">
        <f t="shared" si="12"/>
        <v>24601834.219499499</v>
      </c>
      <c r="U52" s="21">
        <f t="shared" si="9"/>
        <v>0</v>
      </c>
      <c r="V52" s="21">
        <f t="shared" si="10"/>
        <v>0</v>
      </c>
      <c r="W52" s="21"/>
      <c r="X52" s="24">
        <f t="shared" si="4"/>
        <v>0</v>
      </c>
      <c r="Y52" s="21"/>
      <c r="Z52" s="21"/>
      <c r="AA52" s="21"/>
      <c r="AB52" s="24">
        <f t="shared" si="11"/>
        <v>0</v>
      </c>
      <c r="AC52" s="21"/>
      <c r="AD52" s="21"/>
      <c r="AE52" s="21"/>
      <c r="AF52" s="21"/>
      <c r="AG52" s="21"/>
      <c r="AH52" s="21"/>
      <c r="AI52" s="21"/>
      <c r="AJ52" s="25">
        <f t="shared" si="5"/>
        <v>24601834.219499499</v>
      </c>
    </row>
    <row r="53" spans="1:36" ht="56.25" x14ac:dyDescent="0.3">
      <c r="A53" s="17">
        <f t="shared" si="6"/>
        <v>44</v>
      </c>
      <c r="B53" s="18" t="s">
        <v>109</v>
      </c>
      <c r="C53" s="19">
        <v>270111</v>
      </c>
      <c r="D53" s="20">
        <v>2310001</v>
      </c>
      <c r="E53" s="20"/>
      <c r="F53" s="21">
        <f t="shared" si="7"/>
        <v>0</v>
      </c>
      <c r="G53" s="21"/>
      <c r="H53" s="22"/>
      <c r="I53" s="21">
        <f t="shared" si="1"/>
        <v>0</v>
      </c>
      <c r="J53" s="21">
        <f t="shared" si="8"/>
        <v>0</v>
      </c>
      <c r="K53" s="21"/>
      <c r="L53" s="21"/>
      <c r="M53" s="21"/>
      <c r="N53" s="21"/>
      <c r="O53" s="21">
        <f t="shared" si="2"/>
        <v>0</v>
      </c>
      <c r="P53" s="21"/>
      <c r="Q53" s="21"/>
      <c r="R53" s="21"/>
      <c r="S53" s="23"/>
      <c r="T53" s="24">
        <f t="shared" si="12"/>
        <v>0</v>
      </c>
      <c r="U53" s="21">
        <f t="shared" si="9"/>
        <v>0</v>
      </c>
      <c r="V53" s="21">
        <f t="shared" si="10"/>
        <v>0</v>
      </c>
      <c r="W53" s="21"/>
      <c r="X53" s="24">
        <f t="shared" si="4"/>
        <v>0</v>
      </c>
      <c r="Y53" s="21"/>
      <c r="Z53" s="21"/>
      <c r="AA53" s="21"/>
      <c r="AB53" s="24">
        <f t="shared" si="11"/>
        <v>0</v>
      </c>
      <c r="AC53" s="21">
        <v>931675276.10000002</v>
      </c>
      <c r="AD53" s="21"/>
      <c r="AE53" s="21"/>
      <c r="AF53" s="21"/>
      <c r="AG53" s="21"/>
      <c r="AH53" s="21"/>
      <c r="AI53" s="21"/>
      <c r="AJ53" s="25">
        <f t="shared" si="5"/>
        <v>931675276.10000002</v>
      </c>
    </row>
    <row r="54" spans="1:36" x14ac:dyDescent="0.3">
      <c r="A54" s="17">
        <f t="shared" si="6"/>
        <v>45</v>
      </c>
      <c r="B54" s="18" t="s">
        <v>110</v>
      </c>
      <c r="C54" s="19">
        <v>270204</v>
      </c>
      <c r="D54" s="20">
        <v>2138204</v>
      </c>
      <c r="E54" s="20"/>
      <c r="F54" s="21">
        <f>G54+H54</f>
        <v>0</v>
      </c>
      <c r="G54" s="21"/>
      <c r="H54" s="22"/>
      <c r="I54" s="21">
        <f>N54+O54+J54</f>
        <v>0</v>
      </c>
      <c r="J54" s="21">
        <f>K54+L54+M54</f>
        <v>0</v>
      </c>
      <c r="K54" s="21"/>
      <c r="L54" s="21"/>
      <c r="M54" s="21"/>
      <c r="N54" s="21"/>
      <c r="O54" s="21">
        <f t="shared" si="2"/>
        <v>0</v>
      </c>
      <c r="P54" s="21"/>
      <c r="Q54" s="21"/>
      <c r="R54" s="21"/>
      <c r="S54" s="23"/>
      <c r="T54" s="24">
        <f t="shared" si="12"/>
        <v>0</v>
      </c>
      <c r="U54" s="21">
        <f>V54+AA54</f>
        <v>639676.79999999993</v>
      </c>
      <c r="V54" s="21">
        <f>W54+X54</f>
        <v>639676.79999999993</v>
      </c>
      <c r="W54" s="21"/>
      <c r="X54" s="24">
        <f>Y54+Z54</f>
        <v>639676.79999999993</v>
      </c>
      <c r="Y54" s="21"/>
      <c r="Z54" s="21">
        <v>639676.79999999993</v>
      </c>
      <c r="AA54" s="21"/>
      <c r="AB54" s="24">
        <f>W54+AA54</f>
        <v>0</v>
      </c>
      <c r="AC54" s="21"/>
      <c r="AD54" s="21"/>
      <c r="AE54" s="21"/>
      <c r="AF54" s="21"/>
      <c r="AG54" s="21"/>
      <c r="AH54" s="21"/>
      <c r="AI54" s="21"/>
      <c r="AJ54" s="25">
        <f t="shared" si="5"/>
        <v>639676.79999999993</v>
      </c>
    </row>
    <row r="55" spans="1:36" x14ac:dyDescent="0.3">
      <c r="A55" s="17">
        <f t="shared" si="6"/>
        <v>46</v>
      </c>
      <c r="B55" s="18" t="s">
        <v>111</v>
      </c>
      <c r="C55" s="19">
        <v>270157</v>
      </c>
      <c r="D55" s="20">
        <v>2138157</v>
      </c>
      <c r="E55" s="20"/>
      <c r="F55" s="21">
        <f t="shared" si="7"/>
        <v>0</v>
      </c>
      <c r="G55" s="21"/>
      <c r="H55" s="22"/>
      <c r="I55" s="21">
        <f t="shared" si="1"/>
        <v>2701439</v>
      </c>
      <c r="J55" s="21">
        <f t="shared" si="8"/>
        <v>0</v>
      </c>
      <c r="K55" s="21"/>
      <c r="L55" s="21"/>
      <c r="M55" s="21"/>
      <c r="N55" s="21">
        <v>2701439</v>
      </c>
      <c r="O55" s="21">
        <f t="shared" si="2"/>
        <v>0</v>
      </c>
      <c r="P55" s="21"/>
      <c r="Q55" s="21"/>
      <c r="R55" s="21"/>
      <c r="S55" s="23"/>
      <c r="T55" s="24">
        <f t="shared" si="12"/>
        <v>2701439</v>
      </c>
      <c r="U55" s="21">
        <f t="shared" si="9"/>
        <v>0</v>
      </c>
      <c r="V55" s="21">
        <f t="shared" si="10"/>
        <v>0</v>
      </c>
      <c r="W55" s="21"/>
      <c r="X55" s="24">
        <f t="shared" si="4"/>
        <v>0</v>
      </c>
      <c r="Y55" s="21"/>
      <c r="Z55" s="21"/>
      <c r="AA55" s="21"/>
      <c r="AB55" s="24">
        <f t="shared" si="11"/>
        <v>0</v>
      </c>
      <c r="AC55" s="21"/>
      <c r="AD55" s="21"/>
      <c r="AE55" s="21"/>
      <c r="AF55" s="21"/>
      <c r="AG55" s="21"/>
      <c r="AH55" s="21"/>
      <c r="AI55" s="21"/>
      <c r="AJ55" s="25">
        <f t="shared" si="5"/>
        <v>2701439</v>
      </c>
    </row>
    <row r="56" spans="1:36" x14ac:dyDescent="0.3">
      <c r="A56" s="17">
        <f t="shared" si="6"/>
        <v>47</v>
      </c>
      <c r="B56" s="18" t="s">
        <v>112</v>
      </c>
      <c r="C56" s="19">
        <v>270141</v>
      </c>
      <c r="D56" s="20">
        <v>2304002</v>
      </c>
      <c r="E56" s="20"/>
      <c r="F56" s="21">
        <f t="shared" si="7"/>
        <v>0</v>
      </c>
      <c r="G56" s="21"/>
      <c r="H56" s="22"/>
      <c r="I56" s="21">
        <f t="shared" si="1"/>
        <v>834820</v>
      </c>
      <c r="J56" s="21">
        <f t="shared" si="8"/>
        <v>0</v>
      </c>
      <c r="K56" s="21"/>
      <c r="L56" s="21"/>
      <c r="M56" s="21"/>
      <c r="N56" s="21"/>
      <c r="O56" s="21">
        <f t="shared" si="2"/>
        <v>834820</v>
      </c>
      <c r="P56" s="21">
        <v>834820</v>
      </c>
      <c r="Q56" s="21"/>
      <c r="R56" s="21"/>
      <c r="S56" s="23"/>
      <c r="T56" s="24">
        <f t="shared" si="12"/>
        <v>834820</v>
      </c>
      <c r="U56" s="21">
        <f t="shared" si="9"/>
        <v>0</v>
      </c>
      <c r="V56" s="21">
        <f t="shared" si="10"/>
        <v>0</v>
      </c>
      <c r="W56" s="21"/>
      <c r="X56" s="24">
        <f t="shared" si="4"/>
        <v>0</v>
      </c>
      <c r="Y56" s="21"/>
      <c r="Z56" s="21"/>
      <c r="AA56" s="21"/>
      <c r="AB56" s="24">
        <f t="shared" si="11"/>
        <v>0</v>
      </c>
      <c r="AC56" s="21"/>
      <c r="AD56" s="21"/>
      <c r="AE56" s="21"/>
      <c r="AF56" s="21"/>
      <c r="AG56" s="21"/>
      <c r="AH56" s="21"/>
      <c r="AI56" s="21"/>
      <c r="AJ56" s="25">
        <f t="shared" si="5"/>
        <v>834820</v>
      </c>
    </row>
    <row r="57" spans="1:36" x14ac:dyDescent="0.3">
      <c r="A57" s="17">
        <f t="shared" si="6"/>
        <v>48</v>
      </c>
      <c r="B57" s="18" t="s">
        <v>113</v>
      </c>
      <c r="C57" s="19">
        <v>270145</v>
      </c>
      <c r="D57" s="20">
        <v>2304005</v>
      </c>
      <c r="E57" s="20"/>
      <c r="F57" s="21">
        <f t="shared" si="7"/>
        <v>0</v>
      </c>
      <c r="G57" s="21"/>
      <c r="H57" s="22"/>
      <c r="I57" s="21">
        <f t="shared" si="1"/>
        <v>5742814</v>
      </c>
      <c r="J57" s="21">
        <f t="shared" si="8"/>
        <v>0</v>
      </c>
      <c r="K57" s="21"/>
      <c r="L57" s="21"/>
      <c r="M57" s="21"/>
      <c r="N57" s="21"/>
      <c r="O57" s="21">
        <f t="shared" si="2"/>
        <v>5742814</v>
      </c>
      <c r="P57" s="21">
        <v>5742814</v>
      </c>
      <c r="Q57" s="21"/>
      <c r="R57" s="21"/>
      <c r="S57" s="23"/>
      <c r="T57" s="24">
        <f t="shared" si="12"/>
        <v>5742814</v>
      </c>
      <c r="U57" s="21">
        <f t="shared" si="9"/>
        <v>0</v>
      </c>
      <c r="V57" s="21">
        <f t="shared" si="10"/>
        <v>0</v>
      </c>
      <c r="W57" s="21"/>
      <c r="X57" s="24">
        <f t="shared" si="4"/>
        <v>0</v>
      </c>
      <c r="Y57" s="21"/>
      <c r="Z57" s="21"/>
      <c r="AA57" s="21"/>
      <c r="AB57" s="24">
        <f t="shared" si="11"/>
        <v>0</v>
      </c>
      <c r="AC57" s="21"/>
      <c r="AD57" s="21"/>
      <c r="AE57" s="21"/>
      <c r="AF57" s="21"/>
      <c r="AG57" s="21"/>
      <c r="AH57" s="21"/>
      <c r="AI57" s="21"/>
      <c r="AJ57" s="25">
        <f t="shared" si="5"/>
        <v>5742814</v>
      </c>
    </row>
    <row r="58" spans="1:36" ht="22.15" customHeight="1" x14ac:dyDescent="0.3">
      <c r="A58" s="17">
        <f t="shared" si="6"/>
        <v>49</v>
      </c>
      <c r="B58" s="18" t="s">
        <v>114</v>
      </c>
      <c r="C58" s="19">
        <v>270108</v>
      </c>
      <c r="D58" s="20">
        <v>2107803</v>
      </c>
      <c r="E58" s="20">
        <v>1</v>
      </c>
      <c r="F58" s="21">
        <f t="shared" si="7"/>
        <v>3056186.6200000006</v>
      </c>
      <c r="G58" s="21">
        <v>2967171.4800000004</v>
      </c>
      <c r="H58" s="22">
        <v>89015.14</v>
      </c>
      <c r="I58" s="21">
        <f t="shared" si="1"/>
        <v>33731988.15566048</v>
      </c>
      <c r="J58" s="21">
        <f t="shared" si="8"/>
        <v>8708364.955660481</v>
      </c>
      <c r="K58" s="21">
        <f>8409035.32566048-900000</f>
        <v>7509035.3256604802</v>
      </c>
      <c r="L58" s="21">
        <v>697039.20000000007</v>
      </c>
      <c r="M58" s="21">
        <v>502290.43</v>
      </c>
      <c r="N58" s="21">
        <v>209494.5</v>
      </c>
      <c r="O58" s="21">
        <f t="shared" si="2"/>
        <v>24814128.699999999</v>
      </c>
      <c r="P58" s="21">
        <v>23765237.079999998</v>
      </c>
      <c r="Q58" s="21">
        <v>377548.5</v>
      </c>
      <c r="R58" s="21">
        <v>671343.12</v>
      </c>
      <c r="S58" s="23"/>
      <c r="T58" s="24">
        <f t="shared" si="12"/>
        <v>36788174.775660478</v>
      </c>
      <c r="U58" s="21">
        <f t="shared" si="9"/>
        <v>4225864.8599999994</v>
      </c>
      <c r="V58" s="21">
        <f t="shared" si="10"/>
        <v>4225864.8599999994</v>
      </c>
      <c r="W58" s="21"/>
      <c r="X58" s="24">
        <f t="shared" si="4"/>
        <v>4225864.8599999994</v>
      </c>
      <c r="Y58" s="21"/>
      <c r="Z58" s="21">
        <v>4225864.8599999994</v>
      </c>
      <c r="AA58" s="21"/>
      <c r="AB58" s="24">
        <f t="shared" si="11"/>
        <v>0</v>
      </c>
      <c r="AC58" s="21"/>
      <c r="AD58" s="21"/>
      <c r="AE58" s="21"/>
      <c r="AF58" s="21"/>
      <c r="AG58" s="21"/>
      <c r="AH58" s="21"/>
      <c r="AI58" s="21"/>
      <c r="AJ58" s="25">
        <f t="shared" si="5"/>
        <v>41014039.635660477</v>
      </c>
    </row>
    <row r="59" spans="1:36" ht="56.25" x14ac:dyDescent="0.3">
      <c r="A59" s="17">
        <f t="shared" si="6"/>
        <v>50</v>
      </c>
      <c r="B59" s="18" t="s">
        <v>115</v>
      </c>
      <c r="C59" s="19">
        <v>270116</v>
      </c>
      <c r="D59" s="20">
        <v>2223001</v>
      </c>
      <c r="E59" s="20"/>
      <c r="F59" s="21">
        <f t="shared" si="7"/>
        <v>0</v>
      </c>
      <c r="G59" s="21"/>
      <c r="H59" s="22"/>
      <c r="I59" s="21">
        <f t="shared" si="1"/>
        <v>11716518.399999999</v>
      </c>
      <c r="J59" s="21">
        <f t="shared" si="8"/>
        <v>0</v>
      </c>
      <c r="K59" s="21"/>
      <c r="L59" s="21"/>
      <c r="M59" s="21"/>
      <c r="N59" s="21"/>
      <c r="O59" s="21">
        <f t="shared" si="2"/>
        <v>11716518.399999999</v>
      </c>
      <c r="P59" s="21">
        <v>11716518.399999999</v>
      </c>
      <c r="Q59" s="21"/>
      <c r="R59" s="21"/>
      <c r="S59" s="23"/>
      <c r="T59" s="24">
        <f t="shared" si="12"/>
        <v>11716518.399999999</v>
      </c>
      <c r="U59" s="21">
        <f t="shared" si="9"/>
        <v>159757902.61199999</v>
      </c>
      <c r="V59" s="21">
        <f t="shared" si="10"/>
        <v>159757902.61199999</v>
      </c>
      <c r="W59" s="21">
        <v>131695239.31200001</v>
      </c>
      <c r="X59" s="24">
        <f t="shared" si="4"/>
        <v>28062663.299999997</v>
      </c>
      <c r="Y59" s="21">
        <v>28062663.299999997</v>
      </c>
      <c r="Z59" s="21"/>
      <c r="AA59" s="21"/>
      <c r="AB59" s="24">
        <f t="shared" si="11"/>
        <v>131695239.31200001</v>
      </c>
      <c r="AC59" s="21"/>
      <c r="AD59" s="21"/>
      <c r="AE59" s="21"/>
      <c r="AF59" s="21"/>
      <c r="AG59" s="21"/>
      <c r="AH59" s="21"/>
      <c r="AI59" s="21"/>
      <c r="AJ59" s="25">
        <f t="shared" si="5"/>
        <v>171474421.01199999</v>
      </c>
    </row>
    <row r="60" spans="1:36" x14ac:dyDescent="0.3">
      <c r="A60" s="17">
        <f t="shared" si="6"/>
        <v>51</v>
      </c>
      <c r="B60" s="18" t="s">
        <v>116</v>
      </c>
      <c r="C60" s="19">
        <v>270162</v>
      </c>
      <c r="D60" s="20">
        <v>2138162</v>
      </c>
      <c r="E60" s="20"/>
      <c r="F60" s="21">
        <f t="shared" si="7"/>
        <v>0</v>
      </c>
      <c r="G60" s="21"/>
      <c r="H60" s="22"/>
      <c r="I60" s="21">
        <f t="shared" si="1"/>
        <v>134544973.8304182</v>
      </c>
      <c r="J60" s="21">
        <f t="shared" si="8"/>
        <v>0</v>
      </c>
      <c r="K60" s="21"/>
      <c r="L60" s="21"/>
      <c r="M60" s="21"/>
      <c r="N60" s="21">
        <v>134202721.8304182</v>
      </c>
      <c r="O60" s="21">
        <f t="shared" si="2"/>
        <v>342252</v>
      </c>
      <c r="P60" s="21">
        <v>342252</v>
      </c>
      <c r="Q60" s="21"/>
      <c r="R60" s="21"/>
      <c r="S60" s="23"/>
      <c r="T60" s="24">
        <f t="shared" si="12"/>
        <v>134544973.8304182</v>
      </c>
      <c r="U60" s="21">
        <f t="shared" si="9"/>
        <v>0</v>
      </c>
      <c r="V60" s="21">
        <f t="shared" si="10"/>
        <v>0</v>
      </c>
      <c r="W60" s="21"/>
      <c r="X60" s="24">
        <f t="shared" si="4"/>
        <v>0</v>
      </c>
      <c r="Y60" s="21"/>
      <c r="Z60" s="21"/>
      <c r="AA60" s="21"/>
      <c r="AB60" s="24">
        <f t="shared" si="11"/>
        <v>0</v>
      </c>
      <c r="AC60" s="21"/>
      <c r="AD60" s="21"/>
      <c r="AE60" s="21"/>
      <c r="AF60" s="21"/>
      <c r="AG60" s="21"/>
      <c r="AH60" s="21"/>
      <c r="AI60" s="21"/>
      <c r="AJ60" s="25">
        <f t="shared" si="5"/>
        <v>134544973.8304182</v>
      </c>
    </row>
    <row r="61" spans="1:36" ht="37.5" x14ac:dyDescent="0.3">
      <c r="A61" s="17">
        <f t="shared" si="6"/>
        <v>52</v>
      </c>
      <c r="B61" s="18" t="s">
        <v>117</v>
      </c>
      <c r="C61" s="19">
        <v>270172</v>
      </c>
      <c r="D61" s="20">
        <v>2306172</v>
      </c>
      <c r="E61" s="20"/>
      <c r="F61" s="21">
        <f t="shared" si="7"/>
        <v>0</v>
      </c>
      <c r="G61" s="21"/>
      <c r="H61" s="22"/>
      <c r="I61" s="21">
        <f t="shared" si="1"/>
        <v>3124418.6638372098</v>
      </c>
      <c r="J61" s="21">
        <f t="shared" si="8"/>
        <v>0</v>
      </c>
      <c r="K61" s="21"/>
      <c r="L61" s="21"/>
      <c r="M61" s="21"/>
      <c r="N61" s="21">
        <f>3123477.36383721+941.3</f>
        <v>3124418.6638372098</v>
      </c>
      <c r="O61" s="21">
        <f t="shared" si="2"/>
        <v>0</v>
      </c>
      <c r="P61" s="21"/>
      <c r="Q61" s="21"/>
      <c r="R61" s="21"/>
      <c r="S61" s="23"/>
      <c r="T61" s="24">
        <f t="shared" si="12"/>
        <v>3124418.6638372098</v>
      </c>
      <c r="U61" s="21">
        <f t="shared" si="9"/>
        <v>0</v>
      </c>
      <c r="V61" s="21">
        <f t="shared" si="10"/>
        <v>0</v>
      </c>
      <c r="W61" s="21"/>
      <c r="X61" s="24">
        <f t="shared" si="4"/>
        <v>0</v>
      </c>
      <c r="Y61" s="21"/>
      <c r="Z61" s="21"/>
      <c r="AA61" s="21"/>
      <c r="AB61" s="24">
        <f t="shared" si="11"/>
        <v>0</v>
      </c>
      <c r="AC61" s="21"/>
      <c r="AD61" s="21"/>
      <c r="AE61" s="21"/>
      <c r="AF61" s="21"/>
      <c r="AG61" s="21"/>
      <c r="AH61" s="21"/>
      <c r="AI61" s="21"/>
      <c r="AJ61" s="25">
        <f t="shared" si="5"/>
        <v>3124418.6638372098</v>
      </c>
    </row>
    <row r="62" spans="1:36" ht="37.5" x14ac:dyDescent="0.3">
      <c r="A62" s="17">
        <f t="shared" si="6"/>
        <v>53</v>
      </c>
      <c r="B62" s="18" t="s">
        <v>118</v>
      </c>
      <c r="C62" s="19">
        <v>270176</v>
      </c>
      <c r="D62" s="20">
        <v>2107176</v>
      </c>
      <c r="E62" s="20"/>
      <c r="F62" s="21">
        <f t="shared" si="7"/>
        <v>0</v>
      </c>
      <c r="G62" s="21"/>
      <c r="H62" s="22"/>
      <c r="I62" s="21">
        <f t="shared" si="1"/>
        <v>2516920</v>
      </c>
      <c r="J62" s="21">
        <f t="shared" si="8"/>
        <v>0</v>
      </c>
      <c r="K62" s="21"/>
      <c r="L62" s="21"/>
      <c r="M62" s="21"/>
      <c r="N62" s="21"/>
      <c r="O62" s="21">
        <f t="shared" si="2"/>
        <v>2516920</v>
      </c>
      <c r="P62" s="21">
        <v>2516920</v>
      </c>
      <c r="Q62" s="21"/>
      <c r="R62" s="21"/>
      <c r="S62" s="23"/>
      <c r="T62" s="24">
        <f t="shared" si="12"/>
        <v>2516920</v>
      </c>
      <c r="U62" s="21">
        <f t="shared" si="9"/>
        <v>0</v>
      </c>
      <c r="V62" s="21">
        <f t="shared" si="10"/>
        <v>0</v>
      </c>
      <c r="W62" s="21"/>
      <c r="X62" s="24">
        <f t="shared" si="4"/>
        <v>0</v>
      </c>
      <c r="Y62" s="21"/>
      <c r="Z62" s="21"/>
      <c r="AA62" s="21"/>
      <c r="AB62" s="24">
        <f t="shared" si="11"/>
        <v>0</v>
      </c>
      <c r="AC62" s="21"/>
      <c r="AD62" s="21"/>
      <c r="AE62" s="21"/>
      <c r="AF62" s="21"/>
      <c r="AG62" s="21"/>
      <c r="AH62" s="21"/>
      <c r="AI62" s="21"/>
      <c r="AJ62" s="25">
        <f t="shared" si="5"/>
        <v>2516920</v>
      </c>
    </row>
    <row r="63" spans="1:36" x14ac:dyDescent="0.3">
      <c r="A63" s="17">
        <f t="shared" si="6"/>
        <v>54</v>
      </c>
      <c r="B63" s="18" t="s">
        <v>119</v>
      </c>
      <c r="C63" s="19">
        <v>270185</v>
      </c>
      <c r="D63" s="20">
        <v>2106185</v>
      </c>
      <c r="E63" s="20"/>
      <c r="F63" s="21">
        <f t="shared" si="7"/>
        <v>0</v>
      </c>
      <c r="G63" s="21"/>
      <c r="H63" s="22"/>
      <c r="I63" s="21">
        <f t="shared" si="1"/>
        <v>3365613.2661039</v>
      </c>
      <c r="J63" s="21">
        <f t="shared" si="8"/>
        <v>0</v>
      </c>
      <c r="K63" s="21"/>
      <c r="L63" s="21"/>
      <c r="M63" s="21"/>
      <c r="N63" s="21">
        <f>2731544.8561039+634068.41</f>
        <v>3365613.2661039</v>
      </c>
      <c r="O63" s="21">
        <f t="shared" si="2"/>
        <v>0</v>
      </c>
      <c r="P63" s="21"/>
      <c r="Q63" s="21"/>
      <c r="R63" s="21"/>
      <c r="S63" s="23"/>
      <c r="T63" s="24">
        <f t="shared" si="12"/>
        <v>3365613.2661039</v>
      </c>
      <c r="U63" s="21">
        <f t="shared" si="9"/>
        <v>0</v>
      </c>
      <c r="V63" s="21">
        <f t="shared" si="10"/>
        <v>0</v>
      </c>
      <c r="W63" s="21"/>
      <c r="X63" s="24">
        <f t="shared" si="4"/>
        <v>0</v>
      </c>
      <c r="Y63" s="21"/>
      <c r="Z63" s="21"/>
      <c r="AA63" s="21"/>
      <c r="AB63" s="24">
        <f t="shared" si="11"/>
        <v>0</v>
      </c>
      <c r="AC63" s="21"/>
      <c r="AD63" s="21"/>
      <c r="AE63" s="21"/>
      <c r="AF63" s="21"/>
      <c r="AG63" s="21"/>
      <c r="AH63" s="21"/>
      <c r="AI63" s="21"/>
      <c r="AJ63" s="25">
        <f t="shared" si="5"/>
        <v>3365613.2661039</v>
      </c>
    </row>
    <row r="64" spans="1:36" x14ac:dyDescent="0.3">
      <c r="A64" s="17">
        <f t="shared" si="6"/>
        <v>55</v>
      </c>
      <c r="B64" s="18" t="s">
        <v>120</v>
      </c>
      <c r="C64" s="19">
        <v>270211</v>
      </c>
      <c r="D64" s="20">
        <v>2238211</v>
      </c>
      <c r="E64" s="20"/>
      <c r="F64" s="21">
        <f t="shared" si="7"/>
        <v>0</v>
      </c>
      <c r="G64" s="21"/>
      <c r="H64" s="22"/>
      <c r="I64" s="21">
        <f t="shared" si="1"/>
        <v>27892768.260000002</v>
      </c>
      <c r="J64" s="21">
        <f t="shared" si="8"/>
        <v>0</v>
      </c>
      <c r="K64" s="21"/>
      <c r="L64" s="21"/>
      <c r="M64" s="21"/>
      <c r="N64" s="21">
        <f>7146056.5-729517.7</f>
        <v>6416538.7999999998</v>
      </c>
      <c r="O64" s="21">
        <f t="shared" si="2"/>
        <v>21476229.460000001</v>
      </c>
      <c r="P64" s="21">
        <f>18837632.45+503521.46+2135075.55</f>
        <v>21476229.460000001</v>
      </c>
      <c r="Q64" s="21"/>
      <c r="R64" s="21"/>
      <c r="S64" s="23"/>
      <c r="T64" s="24">
        <f t="shared" si="12"/>
        <v>27892768.260000002</v>
      </c>
      <c r="U64" s="21">
        <f t="shared" si="9"/>
        <v>0</v>
      </c>
      <c r="V64" s="21">
        <f t="shared" si="10"/>
        <v>0</v>
      </c>
      <c r="W64" s="21"/>
      <c r="X64" s="24">
        <f t="shared" si="4"/>
        <v>0</v>
      </c>
      <c r="Y64" s="21"/>
      <c r="Z64" s="21"/>
      <c r="AA64" s="21"/>
      <c r="AB64" s="24">
        <f t="shared" si="11"/>
        <v>0</v>
      </c>
      <c r="AC64" s="21"/>
      <c r="AD64" s="21"/>
      <c r="AE64" s="21"/>
      <c r="AF64" s="21"/>
      <c r="AG64" s="21"/>
      <c r="AH64" s="21"/>
      <c r="AI64" s="21"/>
      <c r="AJ64" s="25">
        <f t="shared" si="5"/>
        <v>27892768.260000002</v>
      </c>
    </row>
    <row r="65" spans="1:36" ht="37.5" x14ac:dyDescent="0.3">
      <c r="A65" s="17">
        <f t="shared" si="6"/>
        <v>56</v>
      </c>
      <c r="B65" s="18" t="s">
        <v>121</v>
      </c>
      <c r="C65" s="19">
        <v>270237</v>
      </c>
      <c r="D65" s="20">
        <v>2138237</v>
      </c>
      <c r="E65" s="20"/>
      <c r="F65" s="21">
        <f t="shared" si="7"/>
        <v>0</v>
      </c>
      <c r="G65" s="21"/>
      <c r="H65" s="22"/>
      <c r="I65" s="21">
        <f t="shared" si="1"/>
        <v>517780</v>
      </c>
      <c r="J65" s="21">
        <f t="shared" si="8"/>
        <v>0</v>
      </c>
      <c r="K65" s="21"/>
      <c r="L65" s="21"/>
      <c r="M65" s="21"/>
      <c r="N65" s="21">
        <v>517780</v>
      </c>
      <c r="O65" s="21">
        <f t="shared" si="2"/>
        <v>0</v>
      </c>
      <c r="P65" s="21"/>
      <c r="Q65" s="21"/>
      <c r="R65" s="21"/>
      <c r="S65" s="23"/>
      <c r="T65" s="24">
        <f t="shared" si="12"/>
        <v>517780</v>
      </c>
      <c r="U65" s="21">
        <f t="shared" si="9"/>
        <v>50846992.603200004</v>
      </c>
      <c r="V65" s="21">
        <f t="shared" si="10"/>
        <v>50846992.603200004</v>
      </c>
      <c r="W65" s="21"/>
      <c r="X65" s="24">
        <f t="shared" si="4"/>
        <v>50846992.603200004</v>
      </c>
      <c r="Y65" s="21"/>
      <c r="Z65" s="21">
        <v>50846992.603200004</v>
      </c>
      <c r="AA65" s="21"/>
      <c r="AB65" s="24">
        <f t="shared" si="11"/>
        <v>0</v>
      </c>
      <c r="AC65" s="21"/>
      <c r="AD65" s="21"/>
      <c r="AE65" s="21"/>
      <c r="AF65" s="21"/>
      <c r="AG65" s="21"/>
      <c r="AH65" s="21"/>
      <c r="AI65" s="21"/>
      <c r="AJ65" s="25">
        <f t="shared" si="5"/>
        <v>51364772.603200004</v>
      </c>
    </row>
    <row r="66" spans="1:36" x14ac:dyDescent="0.3">
      <c r="A66" s="17">
        <f t="shared" si="6"/>
        <v>57</v>
      </c>
      <c r="B66" s="18" t="s">
        <v>122</v>
      </c>
      <c r="C66" s="19">
        <v>270217</v>
      </c>
      <c r="D66" s="20">
        <v>2338217</v>
      </c>
      <c r="E66" s="20"/>
      <c r="F66" s="21">
        <f t="shared" si="7"/>
        <v>0</v>
      </c>
      <c r="G66" s="21"/>
      <c r="H66" s="22"/>
      <c r="I66" s="21">
        <f t="shared" si="1"/>
        <v>585620</v>
      </c>
      <c r="J66" s="21">
        <f t="shared" si="8"/>
        <v>0</v>
      </c>
      <c r="K66" s="21"/>
      <c r="L66" s="21"/>
      <c r="M66" s="21"/>
      <c r="N66" s="21"/>
      <c r="O66" s="21">
        <f t="shared" si="2"/>
        <v>585620</v>
      </c>
      <c r="P66" s="21">
        <v>585620</v>
      </c>
      <c r="Q66" s="21"/>
      <c r="R66" s="21"/>
      <c r="S66" s="23"/>
      <c r="T66" s="24">
        <f t="shared" si="12"/>
        <v>585620</v>
      </c>
      <c r="U66" s="21">
        <f t="shared" si="9"/>
        <v>0</v>
      </c>
      <c r="V66" s="21">
        <f t="shared" si="10"/>
        <v>0</v>
      </c>
      <c r="W66" s="21"/>
      <c r="X66" s="24">
        <f t="shared" si="4"/>
        <v>0</v>
      </c>
      <c r="Y66" s="21"/>
      <c r="Z66" s="21"/>
      <c r="AA66" s="21"/>
      <c r="AB66" s="24">
        <f t="shared" si="11"/>
        <v>0</v>
      </c>
      <c r="AC66" s="21"/>
      <c r="AD66" s="21"/>
      <c r="AE66" s="21"/>
      <c r="AF66" s="21"/>
      <c r="AG66" s="21"/>
      <c r="AH66" s="21"/>
      <c r="AI66" s="21"/>
      <c r="AJ66" s="25">
        <f t="shared" si="5"/>
        <v>585620</v>
      </c>
    </row>
    <row r="67" spans="1:36" x14ac:dyDescent="0.3">
      <c r="A67" s="17">
        <f t="shared" si="6"/>
        <v>58</v>
      </c>
      <c r="B67" s="18" t="s">
        <v>123</v>
      </c>
      <c r="C67" s="33">
        <v>270194</v>
      </c>
      <c r="D67" s="34">
        <v>2301194</v>
      </c>
      <c r="E67" s="20"/>
      <c r="F67" s="21">
        <f t="shared" si="7"/>
        <v>0</v>
      </c>
      <c r="G67" s="21"/>
      <c r="H67" s="22"/>
      <c r="I67" s="21">
        <f t="shared" si="1"/>
        <v>6004341.7999999998</v>
      </c>
      <c r="J67" s="21">
        <f t="shared" si="8"/>
        <v>0</v>
      </c>
      <c r="K67" s="21"/>
      <c r="L67" s="21"/>
      <c r="M67" s="21"/>
      <c r="N67" s="21">
        <f>1959961.8+24690</f>
        <v>1984651.8</v>
      </c>
      <c r="O67" s="21">
        <f t="shared" si="2"/>
        <v>4019690</v>
      </c>
      <c r="P67" s="21">
        <f>4019690</f>
        <v>4019690</v>
      </c>
      <c r="Q67" s="21"/>
      <c r="R67" s="21"/>
      <c r="S67" s="23"/>
      <c r="T67" s="24">
        <f t="shared" si="12"/>
        <v>6004341.7999999998</v>
      </c>
      <c r="U67" s="21">
        <f t="shared" si="9"/>
        <v>1237269.5999999999</v>
      </c>
      <c r="V67" s="21">
        <f t="shared" si="10"/>
        <v>1237269.5999999999</v>
      </c>
      <c r="W67" s="21"/>
      <c r="X67" s="24">
        <f t="shared" si="4"/>
        <v>1237269.5999999999</v>
      </c>
      <c r="Y67" s="21"/>
      <c r="Z67" s="21">
        <v>1237269.5999999999</v>
      </c>
      <c r="AA67" s="21"/>
      <c r="AB67" s="24">
        <f t="shared" si="11"/>
        <v>0</v>
      </c>
      <c r="AC67" s="21"/>
      <c r="AD67" s="21"/>
      <c r="AE67" s="21"/>
      <c r="AF67" s="21"/>
      <c r="AG67" s="21"/>
      <c r="AH67" s="21"/>
      <c r="AI67" s="21"/>
      <c r="AJ67" s="25">
        <f t="shared" si="5"/>
        <v>7241611.3999999994</v>
      </c>
    </row>
    <row r="68" spans="1:36" x14ac:dyDescent="0.3">
      <c r="A68" s="17">
        <f t="shared" si="6"/>
        <v>59</v>
      </c>
      <c r="B68" s="18" t="s">
        <v>124</v>
      </c>
      <c r="C68" s="33">
        <v>270235</v>
      </c>
      <c r="D68" s="34">
        <v>2138235</v>
      </c>
      <c r="E68" s="20"/>
      <c r="F68" s="21">
        <f t="shared" si="7"/>
        <v>0</v>
      </c>
      <c r="G68" s="21"/>
      <c r="H68" s="22"/>
      <c r="I68" s="21">
        <f t="shared" si="1"/>
        <v>825826.76923076925</v>
      </c>
      <c r="J68" s="21">
        <f t="shared" si="8"/>
        <v>0</v>
      </c>
      <c r="K68" s="21"/>
      <c r="L68" s="21"/>
      <c r="M68" s="21"/>
      <c r="N68" s="21">
        <v>240206.76923076922</v>
      </c>
      <c r="O68" s="21">
        <f t="shared" si="2"/>
        <v>585620</v>
      </c>
      <c r="P68" s="21">
        <v>585620</v>
      </c>
      <c r="Q68" s="21"/>
      <c r="R68" s="21"/>
      <c r="S68" s="23"/>
      <c r="T68" s="24">
        <f t="shared" si="12"/>
        <v>825826.76923076925</v>
      </c>
      <c r="U68" s="21">
        <f t="shared" si="9"/>
        <v>0</v>
      </c>
      <c r="V68" s="21">
        <f t="shared" si="10"/>
        <v>0</v>
      </c>
      <c r="W68" s="21"/>
      <c r="X68" s="24">
        <f t="shared" si="4"/>
        <v>0</v>
      </c>
      <c r="Y68" s="21"/>
      <c r="Z68" s="21"/>
      <c r="AA68" s="21"/>
      <c r="AB68" s="24">
        <f t="shared" si="11"/>
        <v>0</v>
      </c>
      <c r="AC68" s="21"/>
      <c r="AD68" s="21"/>
      <c r="AE68" s="21"/>
      <c r="AF68" s="21"/>
      <c r="AG68" s="21"/>
      <c r="AH68" s="21"/>
      <c r="AI68" s="21"/>
      <c r="AJ68" s="25">
        <f t="shared" si="5"/>
        <v>825826.76923076925</v>
      </c>
    </row>
    <row r="69" spans="1:36" x14ac:dyDescent="0.3">
      <c r="A69" s="17">
        <f t="shared" si="6"/>
        <v>60</v>
      </c>
      <c r="B69" s="18" t="s">
        <v>125</v>
      </c>
      <c r="C69" s="33">
        <v>270230</v>
      </c>
      <c r="D69" s="34">
        <v>2138230</v>
      </c>
      <c r="E69" s="20"/>
      <c r="F69" s="21">
        <f t="shared" si="7"/>
        <v>0</v>
      </c>
      <c r="G69" s="21"/>
      <c r="H69" s="22"/>
      <c r="I69" s="21">
        <f t="shared" si="1"/>
        <v>0</v>
      </c>
      <c r="J69" s="21">
        <f t="shared" si="8"/>
        <v>0</v>
      </c>
      <c r="K69" s="21"/>
      <c r="L69" s="21"/>
      <c r="M69" s="21"/>
      <c r="N69" s="21"/>
      <c r="O69" s="21">
        <f t="shared" si="2"/>
        <v>0</v>
      </c>
      <c r="P69" s="21"/>
      <c r="Q69" s="21"/>
      <c r="R69" s="21"/>
      <c r="S69" s="23"/>
      <c r="T69" s="24">
        <f t="shared" si="12"/>
        <v>0</v>
      </c>
      <c r="U69" s="21">
        <f t="shared" si="9"/>
        <v>0</v>
      </c>
      <c r="V69" s="21">
        <f t="shared" si="10"/>
        <v>0</v>
      </c>
      <c r="W69" s="21"/>
      <c r="X69" s="24">
        <f t="shared" si="4"/>
        <v>0</v>
      </c>
      <c r="Y69" s="21"/>
      <c r="Z69" s="21"/>
      <c r="AA69" s="21"/>
      <c r="AB69" s="24">
        <f t="shared" si="11"/>
        <v>0</v>
      </c>
      <c r="AC69" s="21"/>
      <c r="AD69" s="21"/>
      <c r="AE69" s="21"/>
      <c r="AF69" s="21"/>
      <c r="AG69" s="21"/>
      <c r="AH69" s="21"/>
      <c r="AI69" s="21">
        <v>30823.1</v>
      </c>
      <c r="AJ69" s="25">
        <f t="shared" si="5"/>
        <v>30823.1</v>
      </c>
    </row>
    <row r="70" spans="1:36" x14ac:dyDescent="0.3">
      <c r="A70" s="17">
        <f t="shared" si="6"/>
        <v>61</v>
      </c>
      <c r="B70" s="18" t="s">
        <v>126</v>
      </c>
      <c r="C70" s="33">
        <v>270231</v>
      </c>
      <c r="D70" s="34">
        <v>2138231</v>
      </c>
      <c r="E70" s="20"/>
      <c r="F70" s="21">
        <f t="shared" si="7"/>
        <v>0</v>
      </c>
      <c r="G70" s="21"/>
      <c r="H70" s="22"/>
      <c r="I70" s="21">
        <f t="shared" si="1"/>
        <v>0</v>
      </c>
      <c r="J70" s="21">
        <f t="shared" si="8"/>
        <v>0</v>
      </c>
      <c r="K70" s="21"/>
      <c r="L70" s="21"/>
      <c r="M70" s="21"/>
      <c r="N70" s="21"/>
      <c r="O70" s="21">
        <f t="shared" si="2"/>
        <v>0</v>
      </c>
      <c r="P70" s="21"/>
      <c r="Q70" s="21"/>
      <c r="R70" s="21"/>
      <c r="S70" s="23"/>
      <c r="T70" s="24">
        <f t="shared" si="12"/>
        <v>0</v>
      </c>
      <c r="U70" s="21">
        <f t="shared" si="9"/>
        <v>0</v>
      </c>
      <c r="V70" s="21">
        <f t="shared" si="10"/>
        <v>0</v>
      </c>
      <c r="W70" s="21"/>
      <c r="X70" s="24">
        <f t="shared" si="4"/>
        <v>0</v>
      </c>
      <c r="Y70" s="21"/>
      <c r="Z70" s="21"/>
      <c r="AA70" s="21"/>
      <c r="AB70" s="24">
        <f t="shared" si="11"/>
        <v>0</v>
      </c>
      <c r="AC70" s="21"/>
      <c r="AD70" s="21"/>
      <c r="AE70" s="21"/>
      <c r="AF70" s="21"/>
      <c r="AG70" s="21"/>
      <c r="AH70" s="21"/>
      <c r="AI70" s="21">
        <v>40271637.950000003</v>
      </c>
      <c r="AJ70" s="25">
        <f t="shared" si="5"/>
        <v>40271637.950000003</v>
      </c>
    </row>
    <row r="71" spans="1:36" x14ac:dyDescent="0.3">
      <c r="A71" s="17">
        <f t="shared" si="6"/>
        <v>62</v>
      </c>
      <c r="B71" s="18" t="s">
        <v>127</v>
      </c>
      <c r="C71" s="33"/>
      <c r="D71" s="34">
        <v>2138243</v>
      </c>
      <c r="E71" s="20"/>
      <c r="F71" s="21">
        <f t="shared" si="7"/>
        <v>0</v>
      </c>
      <c r="G71" s="21"/>
      <c r="H71" s="22"/>
      <c r="I71" s="21">
        <f t="shared" si="1"/>
        <v>0</v>
      </c>
      <c r="J71" s="21">
        <f t="shared" si="8"/>
        <v>0</v>
      </c>
      <c r="K71" s="21"/>
      <c r="L71" s="21"/>
      <c r="M71" s="21"/>
      <c r="N71" s="21"/>
      <c r="O71" s="21">
        <f t="shared" si="2"/>
        <v>0</v>
      </c>
      <c r="P71" s="21"/>
      <c r="Q71" s="21"/>
      <c r="R71" s="21"/>
      <c r="S71" s="23"/>
      <c r="T71" s="24">
        <f t="shared" si="12"/>
        <v>0</v>
      </c>
      <c r="U71" s="21">
        <f t="shared" si="9"/>
        <v>193887</v>
      </c>
      <c r="V71" s="21">
        <f t="shared" si="10"/>
        <v>193887</v>
      </c>
      <c r="W71" s="21"/>
      <c r="X71" s="24">
        <f t="shared" si="4"/>
        <v>193887</v>
      </c>
      <c r="Y71" s="21"/>
      <c r="Z71" s="21">
        <v>193887</v>
      </c>
      <c r="AA71" s="21"/>
      <c r="AB71" s="24">
        <f t="shared" si="11"/>
        <v>0</v>
      </c>
      <c r="AC71" s="21"/>
      <c r="AD71" s="21"/>
      <c r="AE71" s="21"/>
      <c r="AF71" s="21"/>
      <c r="AG71" s="21"/>
      <c r="AH71" s="21"/>
      <c r="AI71" s="21">
        <v>32364.25</v>
      </c>
      <c r="AJ71" s="25">
        <f t="shared" si="5"/>
        <v>226251.25</v>
      </c>
    </row>
    <row r="72" spans="1:36" x14ac:dyDescent="0.3">
      <c r="A72" s="17">
        <f t="shared" si="6"/>
        <v>63</v>
      </c>
      <c r="B72" s="18" t="s">
        <v>128</v>
      </c>
      <c r="C72" s="33">
        <v>270245</v>
      </c>
      <c r="D72" s="34">
        <v>2138246</v>
      </c>
      <c r="E72" s="20"/>
      <c r="F72" s="21">
        <f t="shared" si="7"/>
        <v>0</v>
      </c>
      <c r="G72" s="21"/>
      <c r="H72" s="22"/>
      <c r="I72" s="21">
        <f t="shared" si="1"/>
        <v>171713.04000000004</v>
      </c>
      <c r="J72" s="21">
        <f t="shared" si="8"/>
        <v>0</v>
      </c>
      <c r="K72" s="21"/>
      <c r="L72" s="21"/>
      <c r="M72" s="21"/>
      <c r="N72" s="21">
        <f>286188.4-114475.36</f>
        <v>171713.04000000004</v>
      </c>
      <c r="O72" s="21">
        <f t="shared" si="2"/>
        <v>0</v>
      </c>
      <c r="P72" s="21"/>
      <c r="Q72" s="21"/>
      <c r="R72" s="21"/>
      <c r="S72" s="23"/>
      <c r="T72" s="24">
        <f t="shared" si="12"/>
        <v>171713.04000000004</v>
      </c>
      <c r="U72" s="21">
        <f t="shared" si="9"/>
        <v>0</v>
      </c>
      <c r="V72" s="21">
        <f t="shared" si="10"/>
        <v>0</v>
      </c>
      <c r="W72" s="21"/>
      <c r="X72" s="24">
        <f t="shared" si="4"/>
        <v>0</v>
      </c>
      <c r="Y72" s="21"/>
      <c r="Z72" s="21"/>
      <c r="AA72" s="21"/>
      <c r="AB72" s="24">
        <f t="shared" si="11"/>
        <v>0</v>
      </c>
      <c r="AC72" s="21"/>
      <c r="AD72" s="21"/>
      <c r="AE72" s="21"/>
      <c r="AF72" s="21"/>
      <c r="AG72" s="21"/>
      <c r="AH72" s="21"/>
      <c r="AI72" s="21"/>
      <c r="AJ72" s="25">
        <f t="shared" si="5"/>
        <v>171713.04000000004</v>
      </c>
    </row>
    <row r="73" spans="1:36" x14ac:dyDescent="0.3">
      <c r="A73" s="17">
        <f t="shared" si="6"/>
        <v>64</v>
      </c>
      <c r="B73" s="18" t="s">
        <v>129</v>
      </c>
      <c r="C73" s="34">
        <v>270246</v>
      </c>
      <c r="D73" s="34">
        <v>2138247</v>
      </c>
      <c r="E73" s="20"/>
      <c r="F73" s="21">
        <f t="shared" si="7"/>
        <v>0</v>
      </c>
      <c r="G73" s="21"/>
      <c r="H73" s="22"/>
      <c r="I73" s="21">
        <f t="shared" si="1"/>
        <v>294703.23</v>
      </c>
      <c r="J73" s="21">
        <f t="shared" si="8"/>
        <v>0</v>
      </c>
      <c r="K73" s="21"/>
      <c r="L73" s="21"/>
      <c r="M73" s="21"/>
      <c r="N73" s="21">
        <f>499289.23-204586</f>
        <v>294703.23</v>
      </c>
      <c r="O73" s="21">
        <f t="shared" si="2"/>
        <v>0</v>
      </c>
      <c r="P73" s="21"/>
      <c r="Q73" s="21"/>
      <c r="R73" s="21"/>
      <c r="S73" s="23"/>
      <c r="T73" s="24">
        <f t="shared" si="12"/>
        <v>294703.23</v>
      </c>
      <c r="U73" s="21">
        <f t="shared" si="9"/>
        <v>0</v>
      </c>
      <c r="V73" s="21">
        <f t="shared" si="10"/>
        <v>0</v>
      </c>
      <c r="W73" s="21"/>
      <c r="X73" s="24">
        <f t="shared" si="4"/>
        <v>0</v>
      </c>
      <c r="Y73" s="21"/>
      <c r="Z73" s="21"/>
      <c r="AA73" s="21"/>
      <c r="AB73" s="24">
        <f t="shared" si="11"/>
        <v>0</v>
      </c>
      <c r="AC73" s="21"/>
      <c r="AD73" s="21"/>
      <c r="AE73" s="21"/>
      <c r="AF73" s="21"/>
      <c r="AG73" s="21"/>
      <c r="AH73" s="21"/>
      <c r="AI73" s="21"/>
      <c r="AJ73" s="25">
        <f t="shared" si="5"/>
        <v>294703.23</v>
      </c>
    </row>
    <row r="74" spans="1:36" x14ac:dyDescent="0.3">
      <c r="A74" s="17">
        <f t="shared" si="6"/>
        <v>65</v>
      </c>
      <c r="B74" s="18" t="s">
        <v>130</v>
      </c>
      <c r="C74" s="34">
        <v>270225</v>
      </c>
      <c r="D74" s="34">
        <v>2138225</v>
      </c>
      <c r="E74" s="20"/>
      <c r="F74" s="21">
        <f t="shared" si="7"/>
        <v>0</v>
      </c>
      <c r="G74" s="21"/>
      <c r="H74" s="22"/>
      <c r="I74" s="21">
        <f t="shared" ref="I74:I82" si="13">N74+O74+J74</f>
        <v>0</v>
      </c>
      <c r="J74" s="21">
        <f t="shared" si="8"/>
        <v>0</v>
      </c>
      <c r="K74" s="21"/>
      <c r="L74" s="21"/>
      <c r="M74" s="21"/>
      <c r="N74" s="21"/>
      <c r="O74" s="21">
        <f t="shared" ref="O74:O122" si="14">P74+Q74+R74</f>
        <v>0</v>
      </c>
      <c r="P74" s="21"/>
      <c r="Q74" s="21"/>
      <c r="R74" s="21"/>
      <c r="S74" s="23"/>
      <c r="T74" s="24">
        <f t="shared" si="12"/>
        <v>0</v>
      </c>
      <c r="U74" s="21">
        <f t="shared" si="9"/>
        <v>0</v>
      </c>
      <c r="V74" s="21">
        <f t="shared" si="10"/>
        <v>0</v>
      </c>
      <c r="W74" s="21"/>
      <c r="X74" s="24">
        <f t="shared" ref="X74:X122" si="15">Y74+Z74</f>
        <v>0</v>
      </c>
      <c r="Y74" s="21"/>
      <c r="Z74" s="21"/>
      <c r="AA74" s="21"/>
      <c r="AB74" s="24">
        <f t="shared" si="11"/>
        <v>0</v>
      </c>
      <c r="AC74" s="21"/>
      <c r="AD74" s="21"/>
      <c r="AE74" s="21"/>
      <c r="AF74" s="21"/>
      <c r="AG74" s="21"/>
      <c r="AH74" s="21"/>
      <c r="AI74" s="21"/>
      <c r="AJ74" s="25">
        <f t="shared" ref="AJ74:AJ119" si="16">T74+U74+AC74+AI74</f>
        <v>0</v>
      </c>
    </row>
    <row r="75" spans="1:36" x14ac:dyDescent="0.3">
      <c r="A75" s="17">
        <f t="shared" ref="A75:A122" si="17">A74+1</f>
        <v>66</v>
      </c>
      <c r="B75" s="18" t="s">
        <v>131</v>
      </c>
      <c r="C75" s="34">
        <v>270104</v>
      </c>
      <c r="D75" s="34">
        <v>2138248</v>
      </c>
      <c r="E75" s="20"/>
      <c r="F75" s="21">
        <f t="shared" ref="F75:F123" si="18">G75+H75</f>
        <v>0</v>
      </c>
      <c r="G75" s="21"/>
      <c r="H75" s="22"/>
      <c r="I75" s="21">
        <f t="shared" si="13"/>
        <v>205672.5</v>
      </c>
      <c r="J75" s="21">
        <f t="shared" ref="J75:J123" si="19">K75+L75+M75</f>
        <v>0</v>
      </c>
      <c r="K75" s="21"/>
      <c r="L75" s="21"/>
      <c r="M75" s="21"/>
      <c r="N75" s="21">
        <v>30127</v>
      </c>
      <c r="O75" s="21">
        <f t="shared" si="14"/>
        <v>175545.5</v>
      </c>
      <c r="P75" s="21">
        <v>175545.5</v>
      </c>
      <c r="Q75" s="21"/>
      <c r="R75" s="21"/>
      <c r="S75" s="23"/>
      <c r="T75" s="24">
        <f t="shared" si="12"/>
        <v>205672.5</v>
      </c>
      <c r="U75" s="21">
        <f t="shared" ref="U75:U122" si="20">V75+AA75</f>
        <v>15844626</v>
      </c>
      <c r="V75" s="21">
        <f t="shared" ref="V75:V122" si="21">W75+X75</f>
        <v>15844626</v>
      </c>
      <c r="W75" s="21"/>
      <c r="X75" s="24">
        <f t="shared" si="15"/>
        <v>15844626</v>
      </c>
      <c r="Y75" s="21"/>
      <c r="Z75" s="21">
        <v>15844626</v>
      </c>
      <c r="AA75" s="21"/>
      <c r="AB75" s="24">
        <f t="shared" ref="AB75:AB123" si="22">W75+AA75</f>
        <v>0</v>
      </c>
      <c r="AC75" s="21"/>
      <c r="AD75" s="21"/>
      <c r="AE75" s="21"/>
      <c r="AF75" s="21"/>
      <c r="AG75" s="21"/>
      <c r="AH75" s="21"/>
      <c r="AI75" s="21"/>
      <c r="AJ75" s="25">
        <f t="shared" si="16"/>
        <v>16050298.5</v>
      </c>
    </row>
    <row r="76" spans="1:36" x14ac:dyDescent="0.3">
      <c r="A76" s="17">
        <f t="shared" si="17"/>
        <v>67</v>
      </c>
      <c r="B76" s="18" t="s">
        <v>132</v>
      </c>
      <c r="C76" s="33">
        <v>270229</v>
      </c>
      <c r="D76" s="34">
        <v>2138229</v>
      </c>
      <c r="E76" s="20"/>
      <c r="F76" s="21">
        <f t="shared" si="18"/>
        <v>0</v>
      </c>
      <c r="G76" s="21"/>
      <c r="H76" s="22"/>
      <c r="I76" s="21">
        <f t="shared" si="13"/>
        <v>0</v>
      </c>
      <c r="J76" s="21">
        <f t="shared" si="19"/>
        <v>0</v>
      </c>
      <c r="K76" s="21"/>
      <c r="L76" s="21"/>
      <c r="M76" s="21"/>
      <c r="N76" s="21">
        <f>59920-29960-29960</f>
        <v>0</v>
      </c>
      <c r="O76" s="21">
        <f t="shared" si="14"/>
        <v>0</v>
      </c>
      <c r="P76" s="21"/>
      <c r="Q76" s="21"/>
      <c r="R76" s="21"/>
      <c r="S76" s="23"/>
      <c r="T76" s="24">
        <f t="shared" si="12"/>
        <v>0</v>
      </c>
      <c r="U76" s="21">
        <f t="shared" si="20"/>
        <v>0</v>
      </c>
      <c r="V76" s="21">
        <f t="shared" si="21"/>
        <v>0</v>
      </c>
      <c r="W76" s="21"/>
      <c r="X76" s="24">
        <f t="shared" si="15"/>
        <v>0</v>
      </c>
      <c r="Y76" s="21"/>
      <c r="Z76" s="21"/>
      <c r="AA76" s="21"/>
      <c r="AB76" s="24">
        <f t="shared" si="22"/>
        <v>0</v>
      </c>
      <c r="AC76" s="21"/>
      <c r="AD76" s="21"/>
      <c r="AE76" s="21"/>
      <c r="AF76" s="21"/>
      <c r="AG76" s="21"/>
      <c r="AH76" s="21"/>
      <c r="AI76" s="21"/>
      <c r="AJ76" s="25">
        <f t="shared" si="16"/>
        <v>0</v>
      </c>
    </row>
    <row r="77" spans="1:36" x14ac:dyDescent="0.3">
      <c r="A77" s="17">
        <f t="shared" si="17"/>
        <v>68</v>
      </c>
      <c r="B77" s="18" t="s">
        <v>133</v>
      </c>
      <c r="C77" s="33">
        <v>270199</v>
      </c>
      <c r="D77" s="34">
        <v>2338199</v>
      </c>
      <c r="E77" s="20"/>
      <c r="F77" s="21">
        <f t="shared" si="18"/>
        <v>0</v>
      </c>
      <c r="G77" s="21"/>
      <c r="H77" s="22"/>
      <c r="I77" s="21">
        <f t="shared" si="13"/>
        <v>306654.71666666667</v>
      </c>
      <c r="J77" s="21">
        <f t="shared" si="19"/>
        <v>0</v>
      </c>
      <c r="K77" s="21"/>
      <c r="L77" s="21"/>
      <c r="M77" s="21"/>
      <c r="N77" s="21">
        <v>306654.71666666667</v>
      </c>
      <c r="O77" s="21">
        <f t="shared" si="14"/>
        <v>0</v>
      </c>
      <c r="P77" s="21"/>
      <c r="Q77" s="21"/>
      <c r="R77" s="21"/>
      <c r="S77" s="23"/>
      <c r="T77" s="24">
        <f t="shared" si="12"/>
        <v>306654.71666666667</v>
      </c>
      <c r="U77" s="21">
        <f t="shared" si="20"/>
        <v>0</v>
      </c>
      <c r="V77" s="21">
        <f t="shared" si="21"/>
        <v>0</v>
      </c>
      <c r="W77" s="21"/>
      <c r="X77" s="24">
        <f t="shared" si="15"/>
        <v>0</v>
      </c>
      <c r="Y77" s="21"/>
      <c r="Z77" s="21"/>
      <c r="AA77" s="21"/>
      <c r="AB77" s="24">
        <f t="shared" si="22"/>
        <v>0</v>
      </c>
      <c r="AC77" s="21"/>
      <c r="AD77" s="21"/>
      <c r="AE77" s="21"/>
      <c r="AF77" s="21"/>
      <c r="AG77" s="21"/>
      <c r="AH77" s="21"/>
      <c r="AI77" s="21"/>
      <c r="AJ77" s="25">
        <f t="shared" si="16"/>
        <v>306654.71666666667</v>
      </c>
    </row>
    <row r="78" spans="1:36" x14ac:dyDescent="0.3">
      <c r="A78" s="17">
        <f t="shared" si="17"/>
        <v>69</v>
      </c>
      <c r="B78" s="18" t="s">
        <v>134</v>
      </c>
      <c r="C78" s="34">
        <v>270102</v>
      </c>
      <c r="D78" s="34">
        <v>2138249</v>
      </c>
      <c r="E78" s="20"/>
      <c r="F78" s="21">
        <f t="shared" si="18"/>
        <v>0</v>
      </c>
      <c r="G78" s="21"/>
      <c r="H78" s="22"/>
      <c r="I78" s="21">
        <f t="shared" si="13"/>
        <v>415178.08999999997</v>
      </c>
      <c r="J78" s="21">
        <f t="shared" si="19"/>
        <v>0</v>
      </c>
      <c r="K78" s="21"/>
      <c r="L78" s="21"/>
      <c r="M78" s="21"/>
      <c r="N78" s="21">
        <f>723800.82-308622.73</f>
        <v>415178.08999999997</v>
      </c>
      <c r="O78" s="21">
        <f t="shared" si="14"/>
        <v>0</v>
      </c>
      <c r="P78" s="21"/>
      <c r="Q78" s="21"/>
      <c r="R78" s="21"/>
      <c r="S78" s="23"/>
      <c r="T78" s="24">
        <f t="shared" si="12"/>
        <v>415178.08999999997</v>
      </c>
      <c r="U78" s="21">
        <f t="shared" si="20"/>
        <v>0</v>
      </c>
      <c r="V78" s="21">
        <f t="shared" si="21"/>
        <v>0</v>
      </c>
      <c r="W78" s="21"/>
      <c r="X78" s="24">
        <f t="shared" si="15"/>
        <v>0</v>
      </c>
      <c r="Y78" s="21"/>
      <c r="Z78" s="21"/>
      <c r="AA78" s="21"/>
      <c r="AB78" s="24">
        <f t="shared" si="22"/>
        <v>0</v>
      </c>
      <c r="AC78" s="21"/>
      <c r="AD78" s="21"/>
      <c r="AE78" s="21"/>
      <c r="AF78" s="21"/>
      <c r="AG78" s="21"/>
      <c r="AH78" s="21"/>
      <c r="AI78" s="21"/>
      <c r="AJ78" s="25">
        <f t="shared" si="16"/>
        <v>415178.08999999997</v>
      </c>
    </row>
    <row r="79" spans="1:36" x14ac:dyDescent="0.3">
      <c r="A79" s="17">
        <f t="shared" si="17"/>
        <v>70</v>
      </c>
      <c r="B79" s="18" t="s">
        <v>135</v>
      </c>
      <c r="C79" s="34">
        <v>270105</v>
      </c>
      <c r="D79" s="34">
        <v>2138250</v>
      </c>
      <c r="E79" s="20"/>
      <c r="F79" s="21">
        <f t="shared" si="18"/>
        <v>0</v>
      </c>
      <c r="G79" s="21"/>
      <c r="H79" s="22"/>
      <c r="I79" s="21">
        <f t="shared" si="13"/>
        <v>60991.05</v>
      </c>
      <c r="J79" s="21">
        <f t="shared" si="19"/>
        <v>0</v>
      </c>
      <c r="K79" s="21"/>
      <c r="L79" s="21"/>
      <c r="M79" s="21"/>
      <c r="N79" s="21">
        <f>91605.6-30614.55</f>
        <v>60991.05</v>
      </c>
      <c r="O79" s="21">
        <f t="shared" si="14"/>
        <v>0</v>
      </c>
      <c r="P79" s="21"/>
      <c r="Q79" s="21"/>
      <c r="R79" s="21"/>
      <c r="S79" s="23"/>
      <c r="T79" s="24">
        <f t="shared" si="12"/>
        <v>60991.05</v>
      </c>
      <c r="U79" s="21">
        <f t="shared" si="20"/>
        <v>0</v>
      </c>
      <c r="V79" s="21">
        <f t="shared" si="21"/>
        <v>0</v>
      </c>
      <c r="W79" s="21"/>
      <c r="X79" s="24">
        <f t="shared" si="15"/>
        <v>0</v>
      </c>
      <c r="Y79" s="21"/>
      <c r="Z79" s="21"/>
      <c r="AA79" s="21"/>
      <c r="AB79" s="24">
        <f t="shared" si="22"/>
        <v>0</v>
      </c>
      <c r="AC79" s="21"/>
      <c r="AD79" s="21"/>
      <c r="AE79" s="21"/>
      <c r="AF79" s="21"/>
      <c r="AG79" s="21"/>
      <c r="AH79" s="21"/>
      <c r="AI79" s="21"/>
      <c r="AJ79" s="25">
        <f t="shared" si="16"/>
        <v>60991.05</v>
      </c>
    </row>
    <row r="80" spans="1:36" x14ac:dyDescent="0.3">
      <c r="A80" s="17">
        <f t="shared" si="17"/>
        <v>71</v>
      </c>
      <c r="B80" s="18" t="s">
        <v>136</v>
      </c>
      <c r="C80" s="34">
        <v>270121</v>
      </c>
      <c r="D80" s="34">
        <v>2138252</v>
      </c>
      <c r="E80" s="20"/>
      <c r="F80" s="21">
        <f t="shared" si="18"/>
        <v>0</v>
      </c>
      <c r="G80" s="21"/>
      <c r="H80" s="22"/>
      <c r="I80" s="21">
        <f t="shared" si="13"/>
        <v>179285.2</v>
      </c>
      <c r="J80" s="21">
        <f t="shared" si="19"/>
        <v>0</v>
      </c>
      <c r="K80" s="21"/>
      <c r="L80" s="21"/>
      <c r="M80" s="21"/>
      <c r="N80" s="21">
        <f>204621-68207</f>
        <v>136414</v>
      </c>
      <c r="O80" s="21">
        <f t="shared" si="14"/>
        <v>42871.199999999997</v>
      </c>
      <c r="P80" s="21">
        <f>71452-28580.8</f>
        <v>42871.199999999997</v>
      </c>
      <c r="Q80" s="21"/>
      <c r="R80" s="21"/>
      <c r="S80" s="23"/>
      <c r="T80" s="24">
        <f t="shared" si="12"/>
        <v>179285.2</v>
      </c>
      <c r="U80" s="21">
        <f t="shared" si="20"/>
        <v>0</v>
      </c>
      <c r="V80" s="21">
        <f t="shared" si="21"/>
        <v>0</v>
      </c>
      <c r="W80" s="21"/>
      <c r="X80" s="24">
        <f t="shared" si="15"/>
        <v>0</v>
      </c>
      <c r="Y80" s="21"/>
      <c r="Z80" s="21"/>
      <c r="AA80" s="21"/>
      <c r="AB80" s="24">
        <f t="shared" si="22"/>
        <v>0</v>
      </c>
      <c r="AC80" s="21"/>
      <c r="AD80" s="21"/>
      <c r="AE80" s="21"/>
      <c r="AF80" s="21"/>
      <c r="AG80" s="21"/>
      <c r="AH80" s="21"/>
      <c r="AI80" s="21"/>
      <c r="AJ80" s="25">
        <f t="shared" si="16"/>
        <v>179285.2</v>
      </c>
    </row>
    <row r="81" spans="1:36" x14ac:dyDescent="0.3">
      <c r="A81" s="17">
        <f t="shared" si="17"/>
        <v>72</v>
      </c>
      <c r="B81" s="18" t="s">
        <v>137</v>
      </c>
      <c r="C81" s="34">
        <v>270238</v>
      </c>
      <c r="D81" s="34">
        <v>2138238</v>
      </c>
      <c r="E81" s="20"/>
      <c r="F81" s="21">
        <f t="shared" si="18"/>
        <v>0</v>
      </c>
      <c r="G81" s="21"/>
      <c r="H81" s="22"/>
      <c r="I81" s="21">
        <f t="shared" si="13"/>
        <v>210264</v>
      </c>
      <c r="J81" s="21">
        <f t="shared" si="19"/>
        <v>0</v>
      </c>
      <c r="K81" s="21"/>
      <c r="L81" s="21"/>
      <c r="M81" s="21"/>
      <c r="N81" s="21">
        <v>210264</v>
      </c>
      <c r="O81" s="21">
        <f t="shared" si="14"/>
        <v>0</v>
      </c>
      <c r="P81" s="21"/>
      <c r="Q81" s="21"/>
      <c r="R81" s="21"/>
      <c r="S81" s="23"/>
      <c r="T81" s="24">
        <f t="shared" si="12"/>
        <v>210264</v>
      </c>
      <c r="U81" s="21">
        <f t="shared" si="20"/>
        <v>0</v>
      </c>
      <c r="V81" s="21">
        <f t="shared" si="21"/>
        <v>0</v>
      </c>
      <c r="W81" s="21"/>
      <c r="X81" s="24">
        <f t="shared" si="15"/>
        <v>0</v>
      </c>
      <c r="Y81" s="21"/>
      <c r="Z81" s="21"/>
      <c r="AA81" s="21"/>
      <c r="AB81" s="24">
        <f t="shared" si="22"/>
        <v>0</v>
      </c>
      <c r="AC81" s="21"/>
      <c r="AD81" s="21"/>
      <c r="AE81" s="21"/>
      <c r="AF81" s="21"/>
      <c r="AG81" s="21"/>
      <c r="AH81" s="21"/>
      <c r="AI81" s="21"/>
      <c r="AJ81" s="25">
        <f t="shared" si="16"/>
        <v>210264</v>
      </c>
    </row>
    <row r="82" spans="1:36" x14ac:dyDescent="0.3">
      <c r="A82" s="17">
        <f t="shared" si="17"/>
        <v>73</v>
      </c>
      <c r="B82" s="18" t="s">
        <v>138</v>
      </c>
      <c r="C82" s="34">
        <v>270122</v>
      </c>
      <c r="D82" s="34">
        <v>2138251</v>
      </c>
      <c r="E82" s="20"/>
      <c r="F82" s="21">
        <f t="shared" si="18"/>
        <v>0</v>
      </c>
      <c r="G82" s="21"/>
      <c r="H82" s="22"/>
      <c r="I82" s="21">
        <f t="shared" si="13"/>
        <v>137060</v>
      </c>
      <c r="J82" s="21">
        <f t="shared" si="19"/>
        <v>0</v>
      </c>
      <c r="K82" s="21"/>
      <c r="L82" s="21"/>
      <c r="M82" s="21"/>
      <c r="N82" s="21"/>
      <c r="O82" s="21">
        <f t="shared" si="14"/>
        <v>137060</v>
      </c>
      <c r="P82" s="21">
        <f>199360-62300</f>
        <v>137060</v>
      </c>
      <c r="Q82" s="21"/>
      <c r="R82" s="21"/>
      <c r="S82" s="23"/>
      <c r="T82" s="24">
        <f t="shared" si="12"/>
        <v>137060</v>
      </c>
      <c r="U82" s="21">
        <f t="shared" si="20"/>
        <v>0</v>
      </c>
      <c r="V82" s="21">
        <f t="shared" si="21"/>
        <v>0</v>
      </c>
      <c r="W82" s="21"/>
      <c r="X82" s="24">
        <f t="shared" si="15"/>
        <v>0</v>
      </c>
      <c r="Y82" s="21"/>
      <c r="Z82" s="21"/>
      <c r="AA82" s="21"/>
      <c r="AB82" s="24">
        <f t="shared" si="22"/>
        <v>0</v>
      </c>
      <c r="AC82" s="21"/>
      <c r="AD82" s="21"/>
      <c r="AE82" s="21"/>
      <c r="AF82" s="21"/>
      <c r="AG82" s="21"/>
      <c r="AH82" s="21"/>
      <c r="AI82" s="21"/>
      <c r="AJ82" s="25">
        <f t="shared" si="16"/>
        <v>137060</v>
      </c>
    </row>
    <row r="83" spans="1:36" x14ac:dyDescent="0.3">
      <c r="A83" s="17">
        <f t="shared" si="17"/>
        <v>74</v>
      </c>
      <c r="B83" s="18" t="s">
        <v>139</v>
      </c>
      <c r="C83" s="33">
        <v>270184</v>
      </c>
      <c r="D83" s="34">
        <v>2106184</v>
      </c>
      <c r="E83" s="20"/>
      <c r="F83" s="21">
        <f>G83+H83</f>
        <v>0</v>
      </c>
      <c r="G83" s="21"/>
      <c r="H83" s="22"/>
      <c r="I83" s="21">
        <f>N83+O83+J83</f>
        <v>0</v>
      </c>
      <c r="J83" s="21">
        <f>K83+L83+M83</f>
        <v>0</v>
      </c>
      <c r="K83" s="21"/>
      <c r="L83" s="21"/>
      <c r="M83" s="21"/>
      <c r="N83" s="21"/>
      <c r="O83" s="21">
        <f t="shared" si="14"/>
        <v>0</v>
      </c>
      <c r="P83" s="21"/>
      <c r="Q83" s="21"/>
      <c r="R83" s="21"/>
      <c r="S83" s="23"/>
      <c r="T83" s="24">
        <f t="shared" si="12"/>
        <v>0</v>
      </c>
      <c r="U83" s="21">
        <f>V83+AA83</f>
        <v>485058.69903599995</v>
      </c>
      <c r="V83" s="21">
        <f>W83+X83</f>
        <v>485058.69903599995</v>
      </c>
      <c r="W83" s="21"/>
      <c r="X83" s="24">
        <f>Y83+Z83</f>
        <v>485058.69903599995</v>
      </c>
      <c r="Y83" s="21">
        <v>485058.69903599995</v>
      </c>
      <c r="Z83" s="21"/>
      <c r="AA83" s="21"/>
      <c r="AB83" s="24">
        <f>W83+AA83</f>
        <v>0</v>
      </c>
      <c r="AC83" s="21"/>
      <c r="AD83" s="21"/>
      <c r="AE83" s="21"/>
      <c r="AF83" s="21"/>
      <c r="AG83" s="21"/>
      <c r="AH83" s="21"/>
      <c r="AI83" s="21"/>
      <c r="AJ83" s="25">
        <f t="shared" si="16"/>
        <v>485058.69903599995</v>
      </c>
    </row>
    <row r="84" spans="1:36" x14ac:dyDescent="0.3">
      <c r="A84" s="17">
        <f t="shared" si="17"/>
        <v>75</v>
      </c>
      <c r="B84" s="18" t="s">
        <v>140</v>
      </c>
      <c r="C84" s="34">
        <v>270135</v>
      </c>
      <c r="D84" s="34">
        <v>2138253</v>
      </c>
      <c r="E84" s="20"/>
      <c r="F84" s="21">
        <f>G84+H84</f>
        <v>0</v>
      </c>
      <c r="G84" s="21"/>
      <c r="H84" s="22"/>
      <c r="I84" s="21">
        <f>N84+O84+J84</f>
        <v>0</v>
      </c>
      <c r="J84" s="21">
        <f>K84+L84+M84</f>
        <v>0</v>
      </c>
      <c r="K84" s="21"/>
      <c r="L84" s="21"/>
      <c r="M84" s="21"/>
      <c r="N84" s="21"/>
      <c r="O84" s="21">
        <f t="shared" si="14"/>
        <v>0</v>
      </c>
      <c r="P84" s="21"/>
      <c r="Q84" s="21"/>
      <c r="R84" s="21"/>
      <c r="S84" s="23"/>
      <c r="T84" s="24">
        <f t="shared" si="12"/>
        <v>0</v>
      </c>
      <c r="U84" s="21">
        <f>V84+AA84</f>
        <v>813328.26771599997</v>
      </c>
      <c r="V84" s="21">
        <f>W84+X84</f>
        <v>813328.26771599997</v>
      </c>
      <c r="W84" s="21"/>
      <c r="X84" s="24">
        <f>Y84+Z84</f>
        <v>813328.26771599997</v>
      </c>
      <c r="Y84" s="21"/>
      <c r="Z84" s="21">
        <v>813328.26771599997</v>
      </c>
      <c r="AA84" s="21"/>
      <c r="AB84" s="24">
        <f>W84+AA84</f>
        <v>0</v>
      </c>
      <c r="AC84" s="21"/>
      <c r="AD84" s="21"/>
      <c r="AE84" s="21"/>
      <c r="AF84" s="21"/>
      <c r="AG84" s="21"/>
      <c r="AH84" s="21"/>
      <c r="AI84" s="21"/>
      <c r="AJ84" s="25">
        <f t="shared" si="16"/>
        <v>813328.26771599997</v>
      </c>
    </row>
    <row r="85" spans="1:36" x14ac:dyDescent="0.3">
      <c r="A85" s="17">
        <f t="shared" si="17"/>
        <v>76</v>
      </c>
      <c r="B85" s="18" t="s">
        <v>141</v>
      </c>
      <c r="C85" s="33">
        <v>270243</v>
      </c>
      <c r="D85" s="34">
        <v>2138244</v>
      </c>
      <c r="E85" s="20"/>
      <c r="F85" s="21">
        <f>G85+H85</f>
        <v>0</v>
      </c>
      <c r="G85" s="21"/>
      <c r="H85" s="22"/>
      <c r="I85" s="21">
        <f>N85+O85+J85</f>
        <v>0</v>
      </c>
      <c r="J85" s="21">
        <f>K85+L85+M85</f>
        <v>0</v>
      </c>
      <c r="K85" s="21"/>
      <c r="L85" s="21"/>
      <c r="M85" s="21"/>
      <c r="N85" s="21"/>
      <c r="O85" s="21">
        <f t="shared" si="14"/>
        <v>0</v>
      </c>
      <c r="P85" s="21"/>
      <c r="Q85" s="21"/>
      <c r="R85" s="21"/>
      <c r="S85" s="23"/>
      <c r="T85" s="24">
        <f t="shared" si="12"/>
        <v>0</v>
      </c>
      <c r="U85" s="21">
        <f>V85+AA85</f>
        <v>6591274.6905071996</v>
      </c>
      <c r="V85" s="21">
        <f>W85+X85</f>
        <v>6591274.6905071996</v>
      </c>
      <c r="W85" s="21"/>
      <c r="X85" s="24">
        <f>Y85+Z85</f>
        <v>6591274.6905071996</v>
      </c>
      <c r="Y85" s="21"/>
      <c r="Z85" s="21">
        <v>6591274.6905071996</v>
      </c>
      <c r="AA85" s="21"/>
      <c r="AB85" s="24">
        <f>W85+AA85</f>
        <v>0</v>
      </c>
      <c r="AC85" s="21"/>
      <c r="AD85" s="21"/>
      <c r="AE85" s="21"/>
      <c r="AF85" s="21"/>
      <c r="AG85" s="21"/>
      <c r="AH85" s="21"/>
      <c r="AI85" s="21"/>
      <c r="AJ85" s="25">
        <f t="shared" si="16"/>
        <v>6591274.6905071996</v>
      </c>
    </row>
    <row r="86" spans="1:36" ht="37.5" x14ac:dyDescent="0.3">
      <c r="A86" s="17">
        <f t="shared" si="17"/>
        <v>77</v>
      </c>
      <c r="B86" s="18" t="s">
        <v>142</v>
      </c>
      <c r="C86" s="33"/>
      <c r="D86" s="34">
        <v>2138242</v>
      </c>
      <c r="E86" s="20"/>
      <c r="F86" s="21">
        <f>G86+H86</f>
        <v>0</v>
      </c>
      <c r="G86" s="21"/>
      <c r="H86" s="22"/>
      <c r="I86" s="21">
        <f>N86+O86+J86</f>
        <v>0</v>
      </c>
      <c r="J86" s="21">
        <f>K86+L86+M86</f>
        <v>0</v>
      </c>
      <c r="K86" s="21"/>
      <c r="L86" s="21"/>
      <c r="M86" s="21"/>
      <c r="N86" s="21"/>
      <c r="O86" s="21">
        <f t="shared" si="14"/>
        <v>0</v>
      </c>
      <c r="P86" s="21"/>
      <c r="Q86" s="21"/>
      <c r="R86" s="21"/>
      <c r="S86" s="23"/>
      <c r="T86" s="24">
        <f t="shared" si="12"/>
        <v>0</v>
      </c>
      <c r="U86" s="21">
        <f>V86+AA86</f>
        <v>337191.88359999994</v>
      </c>
      <c r="V86" s="21">
        <f>W86+X86</f>
        <v>337191.88359999994</v>
      </c>
      <c r="W86" s="21">
        <v>337191.88359999994</v>
      </c>
      <c r="X86" s="24">
        <f>Y86+Z86</f>
        <v>0</v>
      </c>
      <c r="Y86" s="21"/>
      <c r="Z86" s="21"/>
      <c r="AA86" s="21"/>
      <c r="AB86" s="24">
        <f>W86+AA86</f>
        <v>337191.88359999994</v>
      </c>
      <c r="AC86" s="21"/>
      <c r="AD86" s="21"/>
      <c r="AE86" s="21"/>
      <c r="AF86" s="21"/>
      <c r="AG86" s="21"/>
      <c r="AH86" s="21"/>
      <c r="AI86" s="21"/>
      <c r="AJ86" s="25">
        <f t="shared" si="16"/>
        <v>337191.88359999994</v>
      </c>
    </row>
    <row r="87" spans="1:36" ht="37.5" x14ac:dyDescent="0.3">
      <c r="A87" s="17">
        <f t="shared" si="17"/>
        <v>78</v>
      </c>
      <c r="B87" s="18" t="s">
        <v>143</v>
      </c>
      <c r="C87" s="33">
        <v>270050</v>
      </c>
      <c r="D87" s="34">
        <v>3141002</v>
      </c>
      <c r="E87" s="20">
        <v>1</v>
      </c>
      <c r="F87" s="21">
        <f t="shared" si="18"/>
        <v>168000920.63999999</v>
      </c>
      <c r="G87" s="21">
        <v>159467071.78</v>
      </c>
      <c r="H87" s="22">
        <f>4784012.15+3749836.71</f>
        <v>8533848.8599999994</v>
      </c>
      <c r="I87" s="21">
        <f>N87+O87+J87</f>
        <v>407126048.22325611</v>
      </c>
      <c r="J87" s="21">
        <f>K87+L87+M87</f>
        <v>270458210.38411134</v>
      </c>
      <c r="K87" s="21">
        <v>163590576.23283875</v>
      </c>
      <c r="L87" s="21">
        <v>101299253.92127259</v>
      </c>
      <c r="M87" s="21">
        <v>5568380.2300000004</v>
      </c>
      <c r="N87" s="21">
        <v>12717400.929144811</v>
      </c>
      <c r="O87" s="21">
        <f>P87+Q87+R87</f>
        <v>123950436.91</v>
      </c>
      <c r="P87" s="21">
        <v>7545950.2100000009</v>
      </c>
      <c r="Q87" s="21">
        <v>49862599.200000003</v>
      </c>
      <c r="R87" s="21">
        <v>66541887.5</v>
      </c>
      <c r="S87" s="23">
        <v>4660941.6000000006</v>
      </c>
      <c r="T87" s="24">
        <f>F87+I87+S87</f>
        <v>579787910.46325612</v>
      </c>
      <c r="U87" s="21">
        <f t="shared" si="20"/>
        <v>935544172.52822948</v>
      </c>
      <c r="V87" s="21">
        <f t="shared" si="21"/>
        <v>861318571.79142952</v>
      </c>
      <c r="W87" s="21">
        <v>789575746.7510519</v>
      </c>
      <c r="X87" s="24">
        <f t="shared" si="15"/>
        <v>71742825.040377587</v>
      </c>
      <c r="Y87" s="21">
        <v>12622456.658268001</v>
      </c>
      <c r="Z87" s="21">
        <v>59120368.38210959</v>
      </c>
      <c r="AA87" s="21">
        <v>74225600.7368</v>
      </c>
      <c r="AB87" s="24">
        <f t="shared" si="22"/>
        <v>863801347.48785186</v>
      </c>
      <c r="AC87" s="21">
        <v>17929062.120000005</v>
      </c>
      <c r="AD87" s="21"/>
      <c r="AE87" s="21"/>
      <c r="AF87" s="21"/>
      <c r="AG87" s="21"/>
      <c r="AH87" s="21"/>
      <c r="AI87" s="21">
        <v>10026209.23</v>
      </c>
      <c r="AJ87" s="25">
        <f t="shared" si="16"/>
        <v>1543287354.3414855</v>
      </c>
    </row>
    <row r="88" spans="1:36" ht="37.5" x14ac:dyDescent="0.3">
      <c r="A88" s="17">
        <f t="shared" si="17"/>
        <v>79</v>
      </c>
      <c r="B88" s="18" t="s">
        <v>144</v>
      </c>
      <c r="C88" s="33">
        <v>270051</v>
      </c>
      <c r="D88" s="34">
        <v>3141003</v>
      </c>
      <c r="E88" s="20"/>
      <c r="F88" s="21">
        <f t="shared" si="18"/>
        <v>18703561.309999999</v>
      </c>
      <c r="G88" s="21">
        <v>18518377.539999999</v>
      </c>
      <c r="H88" s="22">
        <v>185183.77</v>
      </c>
      <c r="I88" s="21">
        <f t="shared" ref="I88:I100" si="23">N88+O88+J88</f>
        <v>71416603.090000004</v>
      </c>
      <c r="J88" s="21">
        <f t="shared" si="19"/>
        <v>34016915.520000003</v>
      </c>
      <c r="K88" s="21">
        <v>22248362.850000001</v>
      </c>
      <c r="L88" s="21">
        <v>10912634.99</v>
      </c>
      <c r="M88" s="21">
        <v>855917.68</v>
      </c>
      <c r="N88" s="21">
        <v>1418486.03</v>
      </c>
      <c r="O88" s="21">
        <f t="shared" si="14"/>
        <v>35981201.540000007</v>
      </c>
      <c r="P88" s="21">
        <v>16986571.400000002</v>
      </c>
      <c r="Q88" s="21">
        <v>10367330.140000001</v>
      </c>
      <c r="R88" s="21">
        <v>8627300</v>
      </c>
      <c r="S88" s="23">
        <v>2441161.8000000003</v>
      </c>
      <c r="T88" s="24">
        <f t="shared" ref="T88:T122" si="24">F88+I88+S88</f>
        <v>92561326.200000003</v>
      </c>
      <c r="U88" s="21">
        <f t="shared" si="20"/>
        <v>92317220.243880272</v>
      </c>
      <c r="V88" s="21">
        <f t="shared" si="21"/>
        <v>92317220.243880272</v>
      </c>
      <c r="W88" s="21">
        <v>58481355.459999993</v>
      </c>
      <c r="X88" s="24">
        <f t="shared" si="15"/>
        <v>33835864.783880278</v>
      </c>
      <c r="Y88" s="21">
        <v>3201750.7200000016</v>
      </c>
      <c r="Z88" s="21">
        <v>30634114.06388028</v>
      </c>
      <c r="AA88" s="21"/>
      <c r="AB88" s="24">
        <f t="shared" si="22"/>
        <v>58481355.459999993</v>
      </c>
      <c r="AC88" s="21"/>
      <c r="AD88" s="21"/>
      <c r="AE88" s="21"/>
      <c r="AF88" s="21"/>
      <c r="AG88" s="21"/>
      <c r="AH88" s="21"/>
      <c r="AI88" s="21">
        <v>25467495.710000001</v>
      </c>
      <c r="AJ88" s="25">
        <f t="shared" si="16"/>
        <v>210346042.15388027</v>
      </c>
    </row>
    <row r="89" spans="1:36" ht="37.5" x14ac:dyDescent="0.3">
      <c r="A89" s="17">
        <f t="shared" si="17"/>
        <v>80</v>
      </c>
      <c r="B89" s="18" t="s">
        <v>145</v>
      </c>
      <c r="C89" s="33">
        <v>270052</v>
      </c>
      <c r="D89" s="34">
        <v>3141004</v>
      </c>
      <c r="E89" s="20">
        <v>1</v>
      </c>
      <c r="F89" s="21">
        <f t="shared" si="18"/>
        <v>47507294.100000001</v>
      </c>
      <c r="G89" s="21">
        <v>46123586.5</v>
      </c>
      <c r="H89" s="22">
        <v>1383707.6</v>
      </c>
      <c r="I89" s="21">
        <f t="shared" si="23"/>
        <v>82217509.274951994</v>
      </c>
      <c r="J89" s="21">
        <f t="shared" si="19"/>
        <v>55057976.944952004</v>
      </c>
      <c r="K89" s="21">
        <f>54125592.194952-6600000</f>
        <v>47525592.194952004</v>
      </c>
      <c r="L89" s="21">
        <v>4567502.37</v>
      </c>
      <c r="M89" s="21">
        <v>2964882.38</v>
      </c>
      <c r="N89" s="21">
        <v>2953153.2</v>
      </c>
      <c r="O89" s="21">
        <f t="shared" si="14"/>
        <v>24206379.129999999</v>
      </c>
      <c r="P89" s="21">
        <v>593241.99999999814</v>
      </c>
      <c r="Q89" s="21">
        <v>11006793.380000001</v>
      </c>
      <c r="R89" s="21">
        <v>12606343.75</v>
      </c>
      <c r="S89" s="23">
        <v>1775390.4000000001</v>
      </c>
      <c r="T89" s="24">
        <f t="shared" si="24"/>
        <v>131500193.77495199</v>
      </c>
      <c r="U89" s="21">
        <f t="shared" si="20"/>
        <v>224267427.84384596</v>
      </c>
      <c r="V89" s="21">
        <f t="shared" si="21"/>
        <v>224267427.84384596</v>
      </c>
      <c r="W89" s="21">
        <v>172975341.27674037</v>
      </c>
      <c r="X89" s="24">
        <f t="shared" si="15"/>
        <v>51292086.567105591</v>
      </c>
      <c r="Y89" s="21">
        <v>35741269.171425596</v>
      </c>
      <c r="Z89" s="21">
        <v>15550817.395679999</v>
      </c>
      <c r="AA89" s="21"/>
      <c r="AB89" s="24">
        <f t="shared" si="22"/>
        <v>172975341.27674037</v>
      </c>
      <c r="AC89" s="21"/>
      <c r="AD89" s="21"/>
      <c r="AE89" s="21"/>
      <c r="AF89" s="21"/>
      <c r="AG89" s="21"/>
      <c r="AH89" s="21"/>
      <c r="AI89" s="21"/>
      <c r="AJ89" s="25">
        <f t="shared" si="16"/>
        <v>355767621.61879796</v>
      </c>
    </row>
    <row r="90" spans="1:36" ht="37.5" x14ac:dyDescent="0.3">
      <c r="A90" s="17">
        <f t="shared" si="17"/>
        <v>81</v>
      </c>
      <c r="B90" s="18" t="s">
        <v>146</v>
      </c>
      <c r="C90" s="33">
        <v>270053</v>
      </c>
      <c r="D90" s="34">
        <v>3141007</v>
      </c>
      <c r="E90" s="20">
        <v>1</v>
      </c>
      <c r="F90" s="21">
        <f>G90+H90</f>
        <v>107645439.13000001</v>
      </c>
      <c r="G90" s="21">
        <v>104510135.08000001</v>
      </c>
      <c r="H90" s="22">
        <v>3135304.05</v>
      </c>
      <c r="I90" s="21">
        <f t="shared" si="23"/>
        <v>271521142.95201141</v>
      </c>
      <c r="J90" s="21">
        <f t="shared" si="19"/>
        <v>128693211.20688801</v>
      </c>
      <c r="K90" s="21">
        <f>118017692.796888-5400000</f>
        <v>112617692.79688799</v>
      </c>
      <c r="L90" s="21">
        <v>9959622.2599999998</v>
      </c>
      <c r="M90" s="21">
        <v>6115896.1500000004</v>
      </c>
      <c r="N90" s="21">
        <f>39032387.4951234-577384</f>
        <v>38455003.495123401</v>
      </c>
      <c r="O90" s="21">
        <f t="shared" si="14"/>
        <v>104372928.25</v>
      </c>
      <c r="P90" s="21">
        <f>7729280-2256568</f>
        <v>5472712</v>
      </c>
      <c r="Q90" s="21">
        <v>49836710</v>
      </c>
      <c r="R90" s="21">
        <v>49063506.25</v>
      </c>
      <c r="S90" s="23"/>
      <c r="T90" s="24">
        <f t="shared" si="24"/>
        <v>379166582.0820114</v>
      </c>
      <c r="U90" s="21">
        <f t="shared" si="20"/>
        <v>1083078052.2084312</v>
      </c>
      <c r="V90" s="21">
        <f t="shared" si="21"/>
        <v>991677433.46323133</v>
      </c>
      <c r="W90" s="21">
        <v>928255037.57066333</v>
      </c>
      <c r="X90" s="24">
        <f t="shared" si="15"/>
        <v>63422395.892568</v>
      </c>
      <c r="Y90" s="21">
        <v>9280279.512000002</v>
      </c>
      <c r="Z90" s="21">
        <v>54142116.380567998</v>
      </c>
      <c r="AA90" s="21">
        <v>91400618.745199978</v>
      </c>
      <c r="AB90" s="24">
        <f t="shared" si="22"/>
        <v>1019655656.3158634</v>
      </c>
      <c r="AC90" s="21"/>
      <c r="AD90" s="21"/>
      <c r="AE90" s="21"/>
      <c r="AF90" s="21"/>
      <c r="AG90" s="21"/>
      <c r="AH90" s="21"/>
      <c r="AI90" s="21"/>
      <c r="AJ90" s="25">
        <f t="shared" si="16"/>
        <v>1462244634.2904427</v>
      </c>
    </row>
    <row r="91" spans="1:36" x14ac:dyDescent="0.3">
      <c r="A91" s="17">
        <f t="shared" si="17"/>
        <v>82</v>
      </c>
      <c r="B91" s="18" t="s">
        <v>147</v>
      </c>
      <c r="C91" s="33">
        <v>270054</v>
      </c>
      <c r="D91" s="34">
        <v>3148002</v>
      </c>
      <c r="E91" s="20"/>
      <c r="F91" s="21">
        <f t="shared" si="18"/>
        <v>0</v>
      </c>
      <c r="G91" s="21"/>
      <c r="H91" s="22"/>
      <c r="I91" s="21">
        <f t="shared" si="23"/>
        <v>116957875.53999999</v>
      </c>
      <c r="J91" s="21">
        <f t="shared" si="19"/>
        <v>0</v>
      </c>
      <c r="K91" s="21"/>
      <c r="L91" s="21"/>
      <c r="M91" s="21"/>
      <c r="N91" s="21">
        <v>8686017.5399999991</v>
      </c>
      <c r="O91" s="21">
        <f t="shared" si="14"/>
        <v>108271858</v>
      </c>
      <c r="P91" s="21">
        <v>107495182</v>
      </c>
      <c r="Q91" s="21">
        <v>776676</v>
      </c>
      <c r="R91" s="21"/>
      <c r="S91" s="23"/>
      <c r="T91" s="24">
        <f t="shared" si="24"/>
        <v>116957875.53999999</v>
      </c>
      <c r="U91" s="21">
        <f t="shared" si="20"/>
        <v>303076947.52272004</v>
      </c>
      <c r="V91" s="21">
        <f t="shared" si="21"/>
        <v>303076947.52272004</v>
      </c>
      <c r="W91" s="21">
        <v>294238297.50672007</v>
      </c>
      <c r="X91" s="24">
        <f t="shared" si="15"/>
        <v>8838650.0159999989</v>
      </c>
      <c r="Y91" s="21"/>
      <c r="Z91" s="21">
        <v>8838650.0159999989</v>
      </c>
      <c r="AA91" s="21"/>
      <c r="AB91" s="24">
        <f t="shared" si="22"/>
        <v>294238297.50672007</v>
      </c>
      <c r="AC91" s="21"/>
      <c r="AD91" s="21"/>
      <c r="AE91" s="21"/>
      <c r="AF91" s="21"/>
      <c r="AG91" s="21"/>
      <c r="AH91" s="21"/>
      <c r="AI91" s="21"/>
      <c r="AJ91" s="25">
        <f t="shared" si="16"/>
        <v>420034823.06272006</v>
      </c>
    </row>
    <row r="92" spans="1:36" ht="37.5" x14ac:dyDescent="0.3">
      <c r="A92" s="17">
        <f t="shared" si="17"/>
        <v>83</v>
      </c>
      <c r="B92" s="18" t="s">
        <v>148</v>
      </c>
      <c r="C92" s="33">
        <v>270058</v>
      </c>
      <c r="D92" s="34">
        <v>3151001</v>
      </c>
      <c r="E92" s="20"/>
      <c r="F92" s="21">
        <f t="shared" si="18"/>
        <v>0</v>
      </c>
      <c r="G92" s="21"/>
      <c r="H92" s="22"/>
      <c r="I92" s="21">
        <f t="shared" si="23"/>
        <v>66938443.980755299</v>
      </c>
      <c r="J92" s="21">
        <f t="shared" si="19"/>
        <v>0</v>
      </c>
      <c r="K92" s="21"/>
      <c r="L92" s="21"/>
      <c r="M92" s="21"/>
      <c r="N92" s="21">
        <f>40113063.8607553+384381.72</f>
        <v>40497445.580755301</v>
      </c>
      <c r="O92" s="21">
        <f t="shared" si="14"/>
        <v>26440998.399999999</v>
      </c>
      <c r="P92" s="21">
        <f>25583578.4+857420</f>
        <v>26440998.399999999</v>
      </c>
      <c r="Q92" s="21">
        <v>0</v>
      </c>
      <c r="R92" s="21"/>
      <c r="S92" s="23"/>
      <c r="T92" s="24">
        <f t="shared" si="24"/>
        <v>66938443.980755299</v>
      </c>
      <c r="U92" s="21">
        <f t="shared" si="20"/>
        <v>616238956.00077581</v>
      </c>
      <c r="V92" s="21">
        <f t="shared" si="21"/>
        <v>598118917.69677579</v>
      </c>
      <c r="W92" s="21">
        <v>473398288.21054775</v>
      </c>
      <c r="X92" s="24">
        <f t="shared" si="15"/>
        <v>124720629.48622802</v>
      </c>
      <c r="Y92" s="21">
        <v>95368490.763789609</v>
      </c>
      <c r="Z92" s="21">
        <v>29352138.722438402</v>
      </c>
      <c r="AA92" s="21">
        <v>18120038.304000001</v>
      </c>
      <c r="AB92" s="24">
        <f t="shared" si="22"/>
        <v>491518326.51454777</v>
      </c>
      <c r="AC92" s="21"/>
      <c r="AD92" s="21"/>
      <c r="AE92" s="21"/>
      <c r="AF92" s="21"/>
      <c r="AG92" s="21"/>
      <c r="AH92" s="21"/>
      <c r="AI92" s="21"/>
      <c r="AJ92" s="25">
        <f t="shared" si="16"/>
        <v>683177399.98153114</v>
      </c>
    </row>
    <row r="93" spans="1:36" ht="37.5" x14ac:dyDescent="0.3">
      <c r="A93" s="17">
        <f t="shared" si="17"/>
        <v>84</v>
      </c>
      <c r="B93" s="18" t="s">
        <v>149</v>
      </c>
      <c r="C93" s="33">
        <v>270056</v>
      </c>
      <c r="D93" s="34">
        <v>3241001</v>
      </c>
      <c r="E93" s="20">
        <v>1</v>
      </c>
      <c r="F93" s="21">
        <f t="shared" si="18"/>
        <v>222111138.14999995</v>
      </c>
      <c r="G93" s="21">
        <v>215641881.69999996</v>
      </c>
      <c r="H93" s="22">
        <v>6469256.4500000002</v>
      </c>
      <c r="I93" s="21">
        <f t="shared" si="23"/>
        <v>213777342.42238799</v>
      </c>
      <c r="J93" s="21">
        <f t="shared" si="19"/>
        <v>143820030.18238798</v>
      </c>
      <c r="K93" s="21">
        <v>4565018.96172</v>
      </c>
      <c r="L93" s="21">
        <v>139255011.22066799</v>
      </c>
      <c r="M93" s="21"/>
      <c r="N93" s="21">
        <f>47137041.74-1630656-174246</f>
        <v>45332139.740000002</v>
      </c>
      <c r="O93" s="21">
        <f t="shared" si="14"/>
        <v>24625172.500000011</v>
      </c>
      <c r="P93" s="21">
        <v>1648507.50000001</v>
      </c>
      <c r="Q93" s="21">
        <f>22653050+323615</f>
        <v>22976665</v>
      </c>
      <c r="R93" s="21"/>
      <c r="S93" s="23"/>
      <c r="T93" s="24">
        <f t="shared" si="24"/>
        <v>435888480.57238793</v>
      </c>
      <c r="U93" s="21">
        <f t="shared" si="20"/>
        <v>201270121.16069597</v>
      </c>
      <c r="V93" s="21">
        <f t="shared" si="21"/>
        <v>201270121.16069597</v>
      </c>
      <c r="W93" s="21">
        <v>161823348.42577276</v>
      </c>
      <c r="X93" s="24">
        <f t="shared" si="15"/>
        <v>39446772.734923199</v>
      </c>
      <c r="Y93" s="21">
        <v>13028036.726923201</v>
      </c>
      <c r="Z93" s="21">
        <v>26418736.007999998</v>
      </c>
      <c r="AA93" s="21"/>
      <c r="AB93" s="24">
        <f t="shared" si="22"/>
        <v>161823348.42577276</v>
      </c>
      <c r="AC93" s="21"/>
      <c r="AD93" s="21"/>
      <c r="AE93" s="21"/>
      <c r="AF93" s="21"/>
      <c r="AG93" s="21"/>
      <c r="AH93" s="21"/>
      <c r="AI93" s="21"/>
      <c r="AJ93" s="25">
        <f t="shared" si="16"/>
        <v>637158601.73308396</v>
      </c>
    </row>
    <row r="94" spans="1:36" ht="56.25" x14ac:dyDescent="0.3">
      <c r="A94" s="17">
        <f t="shared" si="17"/>
        <v>85</v>
      </c>
      <c r="B94" s="18" t="s">
        <v>150</v>
      </c>
      <c r="C94" s="33">
        <v>270009</v>
      </c>
      <c r="D94" s="34">
        <v>306001</v>
      </c>
      <c r="E94" s="20">
        <v>1</v>
      </c>
      <c r="F94" s="21">
        <f t="shared" si="18"/>
        <v>0</v>
      </c>
      <c r="G94" s="21"/>
      <c r="H94" s="22"/>
      <c r="I94" s="21">
        <f t="shared" si="23"/>
        <v>311605230.08833301</v>
      </c>
      <c r="J94" s="21">
        <f t="shared" si="19"/>
        <v>0</v>
      </c>
      <c r="K94" s="21"/>
      <c r="L94" s="21"/>
      <c r="M94" s="21"/>
      <c r="N94" s="21">
        <f>155308925.878333+1486870.1</f>
        <v>156795795.978333</v>
      </c>
      <c r="O94" s="21">
        <f t="shared" si="14"/>
        <v>154809434.11000001</v>
      </c>
      <c r="P94" s="21">
        <f>149373172.83+5436261.28</f>
        <v>154809434.11000001</v>
      </c>
      <c r="Q94" s="21">
        <v>0</v>
      </c>
      <c r="R94" s="21"/>
      <c r="S94" s="23"/>
      <c r="T94" s="24">
        <f t="shared" si="24"/>
        <v>311605230.08833301</v>
      </c>
      <c r="U94" s="21">
        <f t="shared" si="20"/>
        <v>0</v>
      </c>
      <c r="V94" s="21">
        <f t="shared" si="21"/>
        <v>0</v>
      </c>
      <c r="W94" s="21"/>
      <c r="X94" s="24">
        <f t="shared" si="15"/>
        <v>0</v>
      </c>
      <c r="Y94" s="21"/>
      <c r="Z94" s="21"/>
      <c r="AA94" s="21"/>
      <c r="AB94" s="24">
        <f t="shared" si="22"/>
        <v>0</v>
      </c>
      <c r="AC94" s="21"/>
      <c r="AD94" s="21"/>
      <c r="AE94" s="21"/>
      <c r="AF94" s="21"/>
      <c r="AG94" s="21"/>
      <c r="AH94" s="21"/>
      <c r="AI94" s="21"/>
      <c r="AJ94" s="25">
        <f t="shared" si="16"/>
        <v>311605230.08833301</v>
      </c>
    </row>
    <row r="95" spans="1:36" ht="37.5" x14ac:dyDescent="0.3">
      <c r="A95" s="17">
        <f t="shared" si="17"/>
        <v>86</v>
      </c>
      <c r="B95" s="18" t="s">
        <v>151</v>
      </c>
      <c r="C95" s="33">
        <v>270047</v>
      </c>
      <c r="D95" s="34">
        <v>3101009</v>
      </c>
      <c r="E95" s="20">
        <v>1</v>
      </c>
      <c r="F95" s="21">
        <f t="shared" si="18"/>
        <v>44707997.68</v>
      </c>
      <c r="G95" s="21">
        <v>43405822.990000002</v>
      </c>
      <c r="H95" s="22">
        <v>1302174.69</v>
      </c>
      <c r="I95" s="21">
        <f t="shared" si="23"/>
        <v>60591581.029295996</v>
      </c>
      <c r="J95" s="21">
        <f t="shared" si="19"/>
        <v>33819980.029295996</v>
      </c>
      <c r="K95" s="21">
        <f>32541289.759296+185344.47-3000000</f>
        <v>29726634.229295999</v>
      </c>
      <c r="L95" s="21">
        <v>2745908.75</v>
      </c>
      <c r="M95" s="21">
        <v>1347437.05</v>
      </c>
      <c r="N95" s="21">
        <f>418988-81848</f>
        <v>337140</v>
      </c>
      <c r="O95" s="21">
        <f t="shared" si="14"/>
        <v>26434461</v>
      </c>
      <c r="P95" s="21">
        <f>114085-102676.5</f>
        <v>11408.5</v>
      </c>
      <c r="Q95" s="21">
        <v>8413990</v>
      </c>
      <c r="R95" s="21">
        <f>18009062.5</f>
        <v>18009062.5</v>
      </c>
      <c r="S95" s="23"/>
      <c r="T95" s="24">
        <f t="shared" si="24"/>
        <v>105299578.70929599</v>
      </c>
      <c r="U95" s="21">
        <f t="shared" si="20"/>
        <v>23454589.685875203</v>
      </c>
      <c r="V95" s="21">
        <f t="shared" si="21"/>
        <v>23454589.685875203</v>
      </c>
      <c r="W95" s="21"/>
      <c r="X95" s="24">
        <f t="shared" si="15"/>
        <v>23454589.685875203</v>
      </c>
      <c r="Y95" s="21"/>
      <c r="Z95" s="21">
        <v>23454589.685875203</v>
      </c>
      <c r="AA95" s="21"/>
      <c r="AB95" s="24">
        <f t="shared" si="22"/>
        <v>0</v>
      </c>
      <c r="AC95" s="21"/>
      <c r="AD95" s="21"/>
      <c r="AE95" s="21"/>
      <c r="AF95" s="21"/>
      <c r="AG95" s="21"/>
      <c r="AH95" s="21"/>
      <c r="AI95" s="21"/>
      <c r="AJ95" s="25">
        <f t="shared" si="16"/>
        <v>128754168.3951712</v>
      </c>
    </row>
    <row r="96" spans="1:36" ht="56.25" x14ac:dyDescent="0.3">
      <c r="A96" s="17">
        <f t="shared" si="17"/>
        <v>87</v>
      </c>
      <c r="B96" s="18" t="s">
        <v>152</v>
      </c>
      <c r="C96" s="33">
        <v>270232</v>
      </c>
      <c r="D96" s="34">
        <v>3107003</v>
      </c>
      <c r="E96" s="20"/>
      <c r="F96" s="21">
        <f t="shared" si="18"/>
        <v>0</v>
      </c>
      <c r="G96" s="21"/>
      <c r="H96" s="22"/>
      <c r="I96" s="21">
        <f t="shared" si="23"/>
        <v>221289600</v>
      </c>
      <c r="J96" s="21">
        <f t="shared" si="19"/>
        <v>0</v>
      </c>
      <c r="K96" s="21"/>
      <c r="L96" s="21"/>
      <c r="M96" s="21"/>
      <c r="N96" s="21"/>
      <c r="O96" s="21">
        <f t="shared" si="14"/>
        <v>221289600</v>
      </c>
      <c r="P96" s="21">
        <v>221289600</v>
      </c>
      <c r="Q96" s="21"/>
      <c r="R96" s="21"/>
      <c r="S96" s="23"/>
      <c r="T96" s="24">
        <f t="shared" si="24"/>
        <v>221289600</v>
      </c>
      <c r="U96" s="21">
        <f t="shared" si="20"/>
        <v>0</v>
      </c>
      <c r="V96" s="21">
        <f t="shared" si="21"/>
        <v>0</v>
      </c>
      <c r="W96" s="21"/>
      <c r="X96" s="24">
        <f t="shared" si="15"/>
        <v>0</v>
      </c>
      <c r="Y96" s="21"/>
      <c r="Z96" s="21"/>
      <c r="AA96" s="21"/>
      <c r="AB96" s="24">
        <f t="shared" si="22"/>
        <v>0</v>
      </c>
      <c r="AC96" s="21"/>
      <c r="AD96" s="21"/>
      <c r="AE96" s="21"/>
      <c r="AF96" s="21"/>
      <c r="AG96" s="21"/>
      <c r="AH96" s="21"/>
      <c r="AI96" s="21"/>
      <c r="AJ96" s="25">
        <f t="shared" si="16"/>
        <v>221289600</v>
      </c>
    </row>
    <row r="97" spans="1:36" ht="56.25" x14ac:dyDescent="0.3">
      <c r="A97" s="17">
        <f t="shared" si="17"/>
        <v>88</v>
      </c>
      <c r="B97" s="18" t="s">
        <v>153</v>
      </c>
      <c r="C97" s="33">
        <v>270057</v>
      </c>
      <c r="D97" s="34">
        <v>4346004</v>
      </c>
      <c r="E97" s="20">
        <v>1</v>
      </c>
      <c r="F97" s="21">
        <f t="shared" si="18"/>
        <v>13110917.18</v>
      </c>
      <c r="G97" s="21">
        <v>12729045.810000001</v>
      </c>
      <c r="H97" s="22">
        <v>381871.37</v>
      </c>
      <c r="I97" s="21">
        <f t="shared" si="23"/>
        <v>70782412.997919753</v>
      </c>
      <c r="J97" s="21">
        <f t="shared" si="19"/>
        <v>48187409.999919757</v>
      </c>
      <c r="K97" s="21">
        <f>41124186.572832-2900000</f>
        <v>38224186.572832003</v>
      </c>
      <c r="L97" s="21">
        <v>8831984.6970877592</v>
      </c>
      <c r="M97" s="21">
        <v>1131238.73</v>
      </c>
      <c r="N97" s="21">
        <v>1785690.7480000001</v>
      </c>
      <c r="O97" s="21">
        <f t="shared" si="14"/>
        <v>20809312.25</v>
      </c>
      <c r="P97" s="21">
        <f>1863708.28-292970.28</f>
        <v>1570738</v>
      </c>
      <c r="Q97" s="21">
        <f>1812244-776676</f>
        <v>1035568</v>
      </c>
      <c r="R97" s="21">
        <v>18203006.25</v>
      </c>
      <c r="S97" s="23"/>
      <c r="T97" s="24">
        <f t="shared" si="24"/>
        <v>83893330.177919745</v>
      </c>
      <c r="U97" s="21">
        <f t="shared" si="20"/>
        <v>92133038.471487999</v>
      </c>
      <c r="V97" s="21">
        <f t="shared" si="21"/>
        <v>89560101.335487992</v>
      </c>
      <c r="W97" s="21">
        <v>57461345.488139197</v>
      </c>
      <c r="X97" s="24">
        <f t="shared" si="15"/>
        <v>32098755.847348802</v>
      </c>
      <c r="Y97" s="21">
        <v>16323054.557220003</v>
      </c>
      <c r="Z97" s="21">
        <v>15775701.290128801</v>
      </c>
      <c r="AA97" s="21">
        <v>2572937.1359999999</v>
      </c>
      <c r="AB97" s="24">
        <f t="shared" si="22"/>
        <v>60034282.624139197</v>
      </c>
      <c r="AC97" s="21"/>
      <c r="AD97" s="21"/>
      <c r="AE97" s="21"/>
      <c r="AF97" s="21"/>
      <c r="AG97" s="21"/>
      <c r="AH97" s="21"/>
      <c r="AI97" s="21"/>
      <c r="AJ97" s="25">
        <f t="shared" si="16"/>
        <v>176026368.64940774</v>
      </c>
    </row>
    <row r="98" spans="1:36" ht="37.5" x14ac:dyDescent="0.3">
      <c r="A98" s="17">
        <f t="shared" si="17"/>
        <v>89</v>
      </c>
      <c r="B98" s="18" t="s">
        <v>154</v>
      </c>
      <c r="C98" s="33">
        <v>270060</v>
      </c>
      <c r="D98" s="34">
        <v>3131001</v>
      </c>
      <c r="E98" s="20">
        <v>1</v>
      </c>
      <c r="F98" s="21">
        <f t="shared" si="18"/>
        <v>4021102.6899999995</v>
      </c>
      <c r="G98" s="21">
        <v>3903983.1899999995</v>
      </c>
      <c r="H98" s="22">
        <v>117119.5</v>
      </c>
      <c r="I98" s="21">
        <f t="shared" si="23"/>
        <v>27320262.825275201</v>
      </c>
      <c r="J98" s="21">
        <f t="shared" si="19"/>
        <v>15799829.575275201</v>
      </c>
      <c r="K98" s="21">
        <f>13626408.002976-1900000</f>
        <v>11726408.002976</v>
      </c>
      <c r="L98" s="21">
        <v>3040858.0322992001</v>
      </c>
      <c r="M98" s="21">
        <v>1032563.54</v>
      </c>
      <c r="N98" s="21">
        <v>629102</v>
      </c>
      <c r="O98" s="21">
        <f t="shared" si="14"/>
        <v>10891331.25</v>
      </c>
      <c r="P98" s="21">
        <f>5662055-68451</f>
        <v>5593604</v>
      </c>
      <c r="Q98" s="21">
        <v>129446</v>
      </c>
      <c r="R98" s="21">
        <v>5168281.25</v>
      </c>
      <c r="S98" s="23"/>
      <c r="T98" s="24">
        <f t="shared" si="24"/>
        <v>31341365.515275203</v>
      </c>
      <c r="U98" s="21">
        <f t="shared" si="20"/>
        <v>7395337.1519999998</v>
      </c>
      <c r="V98" s="21">
        <f t="shared" si="21"/>
        <v>7395337.1519999998</v>
      </c>
      <c r="W98" s="21"/>
      <c r="X98" s="24">
        <f t="shared" si="15"/>
        <v>7395337.1519999998</v>
      </c>
      <c r="Y98" s="21"/>
      <c r="Z98" s="21">
        <v>7395337.1519999998</v>
      </c>
      <c r="AA98" s="21"/>
      <c r="AB98" s="24">
        <f t="shared" si="22"/>
        <v>0</v>
      </c>
      <c r="AC98" s="21"/>
      <c r="AD98" s="21"/>
      <c r="AE98" s="21"/>
      <c r="AF98" s="21"/>
      <c r="AG98" s="21"/>
      <c r="AH98" s="21"/>
      <c r="AI98" s="21"/>
      <c r="AJ98" s="25">
        <f t="shared" si="16"/>
        <v>38736702.667275205</v>
      </c>
    </row>
    <row r="99" spans="1:36" ht="56.25" x14ac:dyDescent="0.3">
      <c r="A99" s="17">
        <f t="shared" si="17"/>
        <v>90</v>
      </c>
      <c r="B99" s="18" t="s">
        <v>155</v>
      </c>
      <c r="C99" s="33">
        <v>270132</v>
      </c>
      <c r="D99" s="34">
        <v>3310001</v>
      </c>
      <c r="E99" s="20"/>
      <c r="F99" s="21">
        <f t="shared" si="18"/>
        <v>0</v>
      </c>
      <c r="G99" s="21"/>
      <c r="H99" s="22"/>
      <c r="I99" s="21">
        <f t="shared" si="23"/>
        <v>0</v>
      </c>
      <c r="J99" s="21">
        <f t="shared" si="19"/>
        <v>0</v>
      </c>
      <c r="K99" s="21"/>
      <c r="L99" s="21"/>
      <c r="M99" s="21"/>
      <c r="N99" s="21"/>
      <c r="O99" s="21">
        <f t="shared" si="14"/>
        <v>0</v>
      </c>
      <c r="P99" s="21"/>
      <c r="Q99" s="21"/>
      <c r="R99" s="21"/>
      <c r="S99" s="23"/>
      <c r="T99" s="24">
        <f t="shared" si="24"/>
        <v>0</v>
      </c>
      <c r="U99" s="21">
        <f t="shared" si="20"/>
        <v>0</v>
      </c>
      <c r="V99" s="21">
        <f t="shared" si="21"/>
        <v>0</v>
      </c>
      <c r="W99" s="21"/>
      <c r="X99" s="24">
        <f t="shared" si="15"/>
        <v>0</v>
      </c>
      <c r="Y99" s="21"/>
      <c r="Z99" s="21"/>
      <c r="AA99" s="21"/>
      <c r="AB99" s="24">
        <f t="shared" si="22"/>
        <v>0</v>
      </c>
      <c r="AC99" s="21">
        <v>470193042</v>
      </c>
      <c r="AD99" s="21"/>
      <c r="AE99" s="21"/>
      <c r="AF99" s="21"/>
      <c r="AG99" s="21"/>
      <c r="AH99" s="21"/>
      <c r="AI99" s="21"/>
      <c r="AJ99" s="25">
        <f t="shared" si="16"/>
        <v>470193042</v>
      </c>
    </row>
    <row r="100" spans="1:36" x14ac:dyDescent="0.3">
      <c r="A100" s="17">
        <f t="shared" si="17"/>
        <v>91</v>
      </c>
      <c r="B100" s="18" t="s">
        <v>156</v>
      </c>
      <c r="C100" s="33">
        <v>270223</v>
      </c>
      <c r="D100" s="34">
        <v>3138223</v>
      </c>
      <c r="E100" s="20"/>
      <c r="F100" s="21">
        <f t="shared" si="18"/>
        <v>0</v>
      </c>
      <c r="G100" s="21"/>
      <c r="H100" s="22"/>
      <c r="I100" s="21">
        <f t="shared" si="23"/>
        <v>1119610.8805385293</v>
      </c>
      <c r="J100" s="21">
        <f t="shared" si="19"/>
        <v>0</v>
      </c>
      <c r="K100" s="21"/>
      <c r="L100" s="21"/>
      <c r="M100" s="21"/>
      <c r="N100" s="21">
        <v>1119610.8805385293</v>
      </c>
      <c r="O100" s="21">
        <f t="shared" si="14"/>
        <v>0</v>
      </c>
      <c r="P100" s="21"/>
      <c r="Q100" s="21"/>
      <c r="R100" s="21"/>
      <c r="S100" s="23"/>
      <c r="T100" s="24">
        <f t="shared" si="24"/>
        <v>1119610.8805385293</v>
      </c>
      <c r="U100" s="21">
        <f t="shared" si="20"/>
        <v>38939973.638680801</v>
      </c>
      <c r="V100" s="21">
        <f t="shared" si="21"/>
        <v>38939973.638680801</v>
      </c>
      <c r="W100" s="21"/>
      <c r="X100" s="24">
        <f t="shared" si="15"/>
        <v>38939973.638680801</v>
      </c>
      <c r="Y100" s="21">
        <v>12486322.800000001</v>
      </c>
      <c r="Z100" s="21">
        <v>26453650.8386808</v>
      </c>
      <c r="AA100" s="21"/>
      <c r="AB100" s="24">
        <f t="shared" si="22"/>
        <v>0</v>
      </c>
      <c r="AC100" s="21"/>
      <c r="AD100" s="21"/>
      <c r="AE100" s="21"/>
      <c r="AF100" s="21"/>
      <c r="AG100" s="21"/>
      <c r="AH100" s="21"/>
      <c r="AI100" s="21"/>
      <c r="AJ100" s="25">
        <f t="shared" si="16"/>
        <v>40059584.519219331</v>
      </c>
    </row>
    <row r="101" spans="1:36" x14ac:dyDescent="0.3">
      <c r="A101" s="17">
        <f t="shared" si="17"/>
        <v>92</v>
      </c>
      <c r="B101" s="18" t="s">
        <v>157</v>
      </c>
      <c r="C101" s="34">
        <v>270210</v>
      </c>
      <c r="D101" s="34">
        <v>2138254</v>
      </c>
      <c r="E101" s="20"/>
      <c r="F101" s="21">
        <f t="shared" si="18"/>
        <v>0</v>
      </c>
      <c r="G101" s="21"/>
      <c r="H101" s="22"/>
      <c r="I101" s="21">
        <f>N101+O101+J101</f>
        <v>215670.8</v>
      </c>
      <c r="J101" s="21">
        <f t="shared" si="19"/>
        <v>0</v>
      </c>
      <c r="K101" s="21"/>
      <c r="L101" s="21"/>
      <c r="M101" s="21"/>
      <c r="N101" s="21"/>
      <c r="O101" s="21">
        <f t="shared" si="14"/>
        <v>215670.8</v>
      </c>
      <c r="P101" s="21">
        <v>215670.8</v>
      </c>
      <c r="Q101" s="21"/>
      <c r="R101" s="21"/>
      <c r="S101" s="23"/>
      <c r="T101" s="24">
        <f t="shared" si="24"/>
        <v>215670.8</v>
      </c>
      <c r="U101" s="21"/>
      <c r="V101" s="21"/>
      <c r="W101" s="21"/>
      <c r="X101" s="24"/>
      <c r="Y101" s="21"/>
      <c r="Z101" s="21"/>
      <c r="AA101" s="21"/>
      <c r="AB101" s="24">
        <f t="shared" si="22"/>
        <v>0</v>
      </c>
      <c r="AC101" s="21"/>
      <c r="AD101" s="21"/>
      <c r="AE101" s="21"/>
      <c r="AF101" s="21"/>
      <c r="AG101" s="21"/>
      <c r="AH101" s="21"/>
      <c r="AI101" s="21"/>
      <c r="AJ101" s="25">
        <f t="shared" si="16"/>
        <v>215670.8</v>
      </c>
    </row>
    <row r="102" spans="1:36" ht="37.5" x14ac:dyDescent="0.3">
      <c r="A102" s="17">
        <f t="shared" si="17"/>
        <v>93</v>
      </c>
      <c r="B102" s="18" t="s">
        <v>158</v>
      </c>
      <c r="C102" s="33">
        <v>270098</v>
      </c>
      <c r="D102" s="34">
        <v>1343005</v>
      </c>
      <c r="E102" s="20">
        <v>1</v>
      </c>
      <c r="F102" s="21">
        <f t="shared" si="18"/>
        <v>16525588.449999997</v>
      </c>
      <c r="G102" s="21">
        <v>16044260.629999997</v>
      </c>
      <c r="H102" s="22">
        <v>481327.82</v>
      </c>
      <c r="I102" s="21">
        <f t="shared" ref="I102:I122" si="25">N102+O102+J102</f>
        <v>43348288.942935996</v>
      </c>
      <c r="J102" s="21">
        <f t="shared" si="19"/>
        <v>36160779.542935997</v>
      </c>
      <c r="K102" s="21">
        <f>24311759.48796-2400000</f>
        <v>21911759.48796</v>
      </c>
      <c r="L102" s="21">
        <v>13394347.294976</v>
      </c>
      <c r="M102" s="21">
        <v>854672.76</v>
      </c>
      <c r="N102" s="21">
        <v>31505.4</v>
      </c>
      <c r="O102" s="21">
        <f t="shared" si="14"/>
        <v>7156004</v>
      </c>
      <c r="P102" s="21">
        <v>76056</v>
      </c>
      <c r="Q102" s="21">
        <v>3128259</v>
      </c>
      <c r="R102" s="21">
        <v>3951689</v>
      </c>
      <c r="S102" s="23">
        <v>11050956</v>
      </c>
      <c r="T102" s="24">
        <f t="shared" si="24"/>
        <v>70924833.392935991</v>
      </c>
      <c r="U102" s="21">
        <f t="shared" si="20"/>
        <v>37748098.201647997</v>
      </c>
      <c r="V102" s="21">
        <f t="shared" si="21"/>
        <v>37748098.201647997</v>
      </c>
      <c r="W102" s="21">
        <v>20910716.6296</v>
      </c>
      <c r="X102" s="24">
        <f t="shared" si="15"/>
        <v>16837381.572047997</v>
      </c>
      <c r="Y102" s="21">
        <v>740678.39999999991</v>
      </c>
      <c r="Z102" s="21">
        <v>16096703.172047999</v>
      </c>
      <c r="AA102" s="21"/>
      <c r="AB102" s="24">
        <f t="shared" si="22"/>
        <v>20910716.6296</v>
      </c>
      <c r="AC102" s="21">
        <v>10040730</v>
      </c>
      <c r="AD102" s="21"/>
      <c r="AE102" s="21"/>
      <c r="AF102" s="21"/>
      <c r="AG102" s="21"/>
      <c r="AH102" s="21"/>
      <c r="AI102" s="21"/>
      <c r="AJ102" s="25">
        <f t="shared" si="16"/>
        <v>118713661.59458399</v>
      </c>
    </row>
    <row r="103" spans="1:36" ht="37.5" x14ac:dyDescent="0.3">
      <c r="A103" s="17">
        <f t="shared" si="17"/>
        <v>94</v>
      </c>
      <c r="B103" s="35" t="s">
        <v>159</v>
      </c>
      <c r="C103" s="33">
        <v>270134</v>
      </c>
      <c r="D103" s="34">
        <v>1340004</v>
      </c>
      <c r="E103" s="20">
        <v>1</v>
      </c>
      <c r="F103" s="21">
        <f t="shared" si="18"/>
        <v>42774113.740000002</v>
      </c>
      <c r="G103" s="21">
        <v>41528265.770000003</v>
      </c>
      <c r="H103" s="22">
        <v>1245847.97</v>
      </c>
      <c r="I103" s="21">
        <f t="shared" si="25"/>
        <v>201343443.33120191</v>
      </c>
      <c r="J103" s="21">
        <f t="shared" si="19"/>
        <v>129800677.66120192</v>
      </c>
      <c r="K103" s="21">
        <v>72830250.852593929</v>
      </c>
      <c r="L103" s="21">
        <v>53817120.068608001</v>
      </c>
      <c r="M103" s="21">
        <v>3153306.74</v>
      </c>
      <c r="N103" s="21"/>
      <c r="O103" s="21">
        <f t="shared" si="14"/>
        <v>71542765.670000002</v>
      </c>
      <c r="P103" s="21">
        <v>20557639.75</v>
      </c>
      <c r="Q103" s="21">
        <v>23511563.16</v>
      </c>
      <c r="R103" s="21">
        <v>27473562.760000002</v>
      </c>
      <c r="S103" s="23">
        <v>25570356</v>
      </c>
      <c r="T103" s="24">
        <f t="shared" si="24"/>
        <v>269687913.07120192</v>
      </c>
      <c r="U103" s="21">
        <f t="shared" si="20"/>
        <v>96272286.514062643</v>
      </c>
      <c r="V103" s="21">
        <f t="shared" si="21"/>
        <v>96272286.514062643</v>
      </c>
      <c r="W103" s="21">
        <v>69610364.685222641</v>
      </c>
      <c r="X103" s="24">
        <f t="shared" si="15"/>
        <v>26661921.828840002</v>
      </c>
      <c r="Y103" s="21">
        <v>11915032.5</v>
      </c>
      <c r="Z103" s="21">
        <v>14746889.328840001</v>
      </c>
      <c r="AA103" s="21"/>
      <c r="AB103" s="24">
        <f t="shared" si="22"/>
        <v>69610364.685222641</v>
      </c>
      <c r="AC103" s="21">
        <v>45486713.5</v>
      </c>
      <c r="AD103" s="21"/>
      <c r="AE103" s="21"/>
      <c r="AF103" s="21"/>
      <c r="AG103" s="21"/>
      <c r="AH103" s="21"/>
      <c r="AI103" s="21"/>
      <c r="AJ103" s="25">
        <f t="shared" si="16"/>
        <v>411446913.08526456</v>
      </c>
    </row>
    <row r="104" spans="1:36" x14ac:dyDescent="0.3">
      <c r="A104" s="17">
        <f t="shared" si="17"/>
        <v>95</v>
      </c>
      <c r="B104" s="28" t="s">
        <v>160</v>
      </c>
      <c r="C104" s="33">
        <v>270155</v>
      </c>
      <c r="D104" s="34">
        <v>1343001</v>
      </c>
      <c r="E104" s="20">
        <v>1</v>
      </c>
      <c r="F104" s="21">
        <f t="shared" si="18"/>
        <v>52378036.969999999</v>
      </c>
      <c r="G104" s="21">
        <v>50852463.079999998</v>
      </c>
      <c r="H104" s="22">
        <v>1525573.89</v>
      </c>
      <c r="I104" s="21">
        <f t="shared" si="25"/>
        <v>64898977.450117096</v>
      </c>
      <c r="J104" s="21">
        <f t="shared" si="19"/>
        <v>40371324.750117101</v>
      </c>
      <c r="K104" s="21">
        <f>24115302.0984691-600000</f>
        <v>23515302.098469101</v>
      </c>
      <c r="L104" s="21">
        <v>15551001.531648003</v>
      </c>
      <c r="M104" s="21">
        <v>1305021.1200000001</v>
      </c>
      <c r="N104" s="21">
        <v>1336434</v>
      </c>
      <c r="O104" s="21">
        <f t="shared" si="14"/>
        <v>23191218.699999999</v>
      </c>
      <c r="P104" s="21">
        <v>3414040</v>
      </c>
      <c r="Q104" s="21">
        <v>11177593.02</v>
      </c>
      <c r="R104" s="21">
        <v>8599585.6799999997</v>
      </c>
      <c r="S104" s="23">
        <v>8630370</v>
      </c>
      <c r="T104" s="24">
        <f t="shared" si="24"/>
        <v>125907384.4201171</v>
      </c>
      <c r="U104" s="21">
        <f t="shared" si="20"/>
        <v>123427573.12796637</v>
      </c>
      <c r="V104" s="21">
        <f t="shared" si="21"/>
        <v>123427573.12796637</v>
      </c>
      <c r="W104" s="21">
        <v>103426970.68580638</v>
      </c>
      <c r="X104" s="24">
        <f t="shared" si="15"/>
        <v>20000602.442159999</v>
      </c>
      <c r="Y104" s="21"/>
      <c r="Z104" s="21">
        <v>20000602.442159999</v>
      </c>
      <c r="AA104" s="21"/>
      <c r="AB104" s="24">
        <f t="shared" si="22"/>
        <v>103426970.68580638</v>
      </c>
      <c r="AC104" s="21">
        <v>17683910</v>
      </c>
      <c r="AD104" s="21"/>
      <c r="AE104" s="21"/>
      <c r="AF104" s="21"/>
      <c r="AG104" s="21"/>
      <c r="AH104" s="21"/>
      <c r="AI104" s="21"/>
      <c r="AJ104" s="25">
        <f t="shared" si="16"/>
        <v>267018867.54808348</v>
      </c>
    </row>
    <row r="105" spans="1:36" x14ac:dyDescent="0.3">
      <c r="A105" s="17">
        <f t="shared" si="17"/>
        <v>96</v>
      </c>
      <c r="B105" s="28" t="s">
        <v>161</v>
      </c>
      <c r="C105" s="33">
        <v>270168</v>
      </c>
      <c r="D105" s="34">
        <v>1343002</v>
      </c>
      <c r="E105" s="20">
        <v>1</v>
      </c>
      <c r="F105" s="21">
        <f t="shared" si="18"/>
        <v>86776637.219999999</v>
      </c>
      <c r="G105" s="21">
        <v>84249162.349999994</v>
      </c>
      <c r="H105" s="22">
        <v>2527474.87</v>
      </c>
      <c r="I105" s="21">
        <f t="shared" si="25"/>
        <v>73094211.164655045</v>
      </c>
      <c r="J105" s="21">
        <f t="shared" si="19"/>
        <v>44065448.184655041</v>
      </c>
      <c r="K105" s="21">
        <f>28052804.7224656-1450000</f>
        <v>26602804.722465601</v>
      </c>
      <c r="L105" s="21">
        <v>15529330.432189442</v>
      </c>
      <c r="M105" s="21">
        <v>1933313.03</v>
      </c>
      <c r="N105" s="21">
        <v>2557575.7000000002</v>
      </c>
      <c r="O105" s="21">
        <f t="shared" si="14"/>
        <v>26471187.280000001</v>
      </c>
      <c r="P105" s="21">
        <v>6977002.0000000019</v>
      </c>
      <c r="Q105" s="21">
        <f>5393550+1078710</f>
        <v>6472260</v>
      </c>
      <c r="R105" s="21">
        <v>13021925.279999999</v>
      </c>
      <c r="S105" s="23">
        <v>21206052</v>
      </c>
      <c r="T105" s="24">
        <f t="shared" si="24"/>
        <v>181076900.38465506</v>
      </c>
      <c r="U105" s="21">
        <f t="shared" si="20"/>
        <v>109435442.11142051</v>
      </c>
      <c r="V105" s="21">
        <f t="shared" si="21"/>
        <v>109435442.11142051</v>
      </c>
      <c r="W105" s="21">
        <v>84641726.268644512</v>
      </c>
      <c r="X105" s="24">
        <f t="shared" si="15"/>
        <v>24793715.842776</v>
      </c>
      <c r="Y105" s="21">
        <v>9037959.8399999999</v>
      </c>
      <c r="Z105" s="21">
        <v>15755756.002775999</v>
      </c>
      <c r="AA105" s="21"/>
      <c r="AB105" s="24">
        <f t="shared" si="22"/>
        <v>84641726.268644512</v>
      </c>
      <c r="AC105" s="21">
        <v>19204223.399999999</v>
      </c>
      <c r="AD105" s="21"/>
      <c r="AE105" s="21"/>
      <c r="AF105" s="21"/>
      <c r="AG105" s="21"/>
      <c r="AH105" s="21"/>
      <c r="AI105" s="21">
        <v>9255660.3200000003</v>
      </c>
      <c r="AJ105" s="25">
        <f t="shared" si="16"/>
        <v>318972226.21607554</v>
      </c>
    </row>
    <row r="106" spans="1:36" ht="37.5" x14ac:dyDescent="0.3">
      <c r="A106" s="17">
        <f t="shared" si="17"/>
        <v>97</v>
      </c>
      <c r="B106" s="18" t="s">
        <v>162</v>
      </c>
      <c r="C106" s="33">
        <v>270169</v>
      </c>
      <c r="D106" s="34">
        <v>1343303</v>
      </c>
      <c r="E106" s="20">
        <v>1</v>
      </c>
      <c r="F106" s="21">
        <f t="shared" si="18"/>
        <v>246124651.85000002</v>
      </c>
      <c r="G106" s="21">
        <v>238955972.67000002</v>
      </c>
      <c r="H106" s="22">
        <v>7168679.1799999997</v>
      </c>
      <c r="I106" s="21">
        <f t="shared" si="25"/>
        <v>167149132.75925374</v>
      </c>
      <c r="J106" s="21">
        <f t="shared" si="19"/>
        <v>93098806.212324798</v>
      </c>
      <c r="K106" s="21">
        <f>57721971.2333136-3010000</f>
        <v>54711971.233313598</v>
      </c>
      <c r="L106" s="21">
        <v>35450477.609011203</v>
      </c>
      <c r="M106" s="21">
        <v>2936357.37</v>
      </c>
      <c r="N106" s="21">
        <v>5886608.5069289394</v>
      </c>
      <c r="O106" s="21">
        <f t="shared" si="14"/>
        <v>68163718.039999992</v>
      </c>
      <c r="P106" s="21">
        <v>22789091.800000001</v>
      </c>
      <c r="Q106" s="21">
        <f>14238972+16827876</f>
        <v>31066848</v>
      </c>
      <c r="R106" s="21">
        <v>14307778.24</v>
      </c>
      <c r="S106" s="23">
        <v>45141264</v>
      </c>
      <c r="T106" s="24">
        <f t="shared" si="24"/>
        <v>458415048.60925376</v>
      </c>
      <c r="U106" s="21">
        <f t="shared" si="20"/>
        <v>300630239.01824188</v>
      </c>
      <c r="V106" s="21">
        <f t="shared" si="21"/>
        <v>300630239.01824188</v>
      </c>
      <c r="W106" s="21">
        <v>157070283.14012191</v>
      </c>
      <c r="X106" s="24">
        <f t="shared" si="15"/>
        <v>143559955.87811998</v>
      </c>
      <c r="Y106" s="21">
        <v>27376056.106559999</v>
      </c>
      <c r="Z106" s="21">
        <v>116183899.77155998</v>
      </c>
      <c r="AA106" s="21"/>
      <c r="AB106" s="24">
        <f t="shared" si="22"/>
        <v>157070283.14012191</v>
      </c>
      <c r="AC106" s="21">
        <v>40300142.399999999</v>
      </c>
      <c r="AD106" s="21"/>
      <c r="AE106" s="21"/>
      <c r="AF106" s="21"/>
      <c r="AG106" s="21"/>
      <c r="AH106" s="21"/>
      <c r="AI106" s="21"/>
      <c r="AJ106" s="25">
        <f t="shared" si="16"/>
        <v>799345430.02749562</v>
      </c>
    </row>
    <row r="107" spans="1:36" x14ac:dyDescent="0.3">
      <c r="A107" s="17">
        <f t="shared" si="17"/>
        <v>98</v>
      </c>
      <c r="B107" s="18" t="s">
        <v>163</v>
      </c>
      <c r="C107" s="33">
        <v>270087</v>
      </c>
      <c r="D107" s="34">
        <v>1340011</v>
      </c>
      <c r="E107" s="20">
        <v>1</v>
      </c>
      <c r="F107" s="21">
        <f t="shared" si="18"/>
        <v>97563364.610000014</v>
      </c>
      <c r="G107" s="21">
        <v>94721713.210000008</v>
      </c>
      <c r="H107" s="22">
        <v>2841651.4</v>
      </c>
      <c r="I107" s="21">
        <f t="shared" si="25"/>
        <v>48408794.163910121</v>
      </c>
      <c r="J107" s="21">
        <f t="shared" si="19"/>
        <v>32065424.073910125</v>
      </c>
      <c r="K107" s="21">
        <f>19315823.7464618-2450000</f>
        <v>16865823.746461801</v>
      </c>
      <c r="L107" s="21">
        <v>14663669.067448322</v>
      </c>
      <c r="M107" s="21">
        <v>535931.26</v>
      </c>
      <c r="N107" s="21">
        <v>171257</v>
      </c>
      <c r="O107" s="21">
        <f t="shared" si="14"/>
        <v>16172113.09</v>
      </c>
      <c r="P107" s="21">
        <v>6479199.9999999991</v>
      </c>
      <c r="Q107" s="21">
        <v>1668764.37</v>
      </c>
      <c r="R107" s="21">
        <v>8024148.7199999997</v>
      </c>
      <c r="S107" s="23">
        <v>6493326</v>
      </c>
      <c r="T107" s="24">
        <f t="shared" si="24"/>
        <v>152465484.77391014</v>
      </c>
      <c r="U107" s="21">
        <f t="shared" si="20"/>
        <v>100940683.07114279</v>
      </c>
      <c r="V107" s="21">
        <f t="shared" si="21"/>
        <v>100940683.07114279</v>
      </c>
      <c r="W107" s="21">
        <v>76577836.494862795</v>
      </c>
      <c r="X107" s="24">
        <f t="shared" si="15"/>
        <v>24362846.576279998</v>
      </c>
      <c r="Y107" s="21"/>
      <c r="Z107" s="21">
        <v>24362846.576279998</v>
      </c>
      <c r="AA107" s="21"/>
      <c r="AB107" s="24">
        <f t="shared" si="22"/>
        <v>76577836.494862795</v>
      </c>
      <c r="AC107" s="21">
        <v>18037001.5</v>
      </c>
      <c r="AD107" s="21"/>
      <c r="AE107" s="21"/>
      <c r="AF107" s="21"/>
      <c r="AG107" s="21"/>
      <c r="AH107" s="21"/>
      <c r="AI107" s="21"/>
      <c r="AJ107" s="25">
        <f t="shared" si="16"/>
        <v>271443169.34505296</v>
      </c>
    </row>
    <row r="108" spans="1:36" ht="37.5" x14ac:dyDescent="0.3">
      <c r="A108" s="17">
        <f t="shared" si="17"/>
        <v>99</v>
      </c>
      <c r="B108" s="28" t="s">
        <v>164</v>
      </c>
      <c r="C108" s="33">
        <v>270146</v>
      </c>
      <c r="D108" s="34">
        <v>1340013</v>
      </c>
      <c r="E108" s="20">
        <v>1</v>
      </c>
      <c r="F108" s="21">
        <f t="shared" si="18"/>
        <v>120284087.09</v>
      </c>
      <c r="G108" s="21">
        <v>116780667.08</v>
      </c>
      <c r="H108" s="22">
        <v>3503420.01</v>
      </c>
      <c r="I108" s="21">
        <f t="shared" si="25"/>
        <v>89623726.9871286</v>
      </c>
      <c r="J108" s="21">
        <f t="shared" si="19"/>
        <v>55503272.6671286</v>
      </c>
      <c r="K108" s="21">
        <f>38656007.5633414-3000000</f>
        <v>35656007.563341402</v>
      </c>
      <c r="L108" s="21">
        <v>18205180.503787201</v>
      </c>
      <c r="M108" s="21">
        <v>1642084.6</v>
      </c>
      <c r="N108" s="21">
        <f>983416+171494.4</f>
        <v>1154910.3999999999</v>
      </c>
      <c r="O108" s="21">
        <f t="shared" si="14"/>
        <v>32965543.920000002</v>
      </c>
      <c r="P108" s="21">
        <v>12078242.92</v>
      </c>
      <c r="Q108" s="21">
        <v>8867051</v>
      </c>
      <c r="R108" s="21">
        <v>12020250</v>
      </c>
      <c r="S108" s="23">
        <v>36557136</v>
      </c>
      <c r="T108" s="24">
        <f t="shared" si="24"/>
        <v>246464950.07712859</v>
      </c>
      <c r="U108" s="21">
        <f t="shared" si="20"/>
        <v>138743714.2963891</v>
      </c>
      <c r="V108" s="21">
        <f t="shared" si="21"/>
        <v>138743714.2963891</v>
      </c>
      <c r="W108" s="21">
        <v>85351615.927761123</v>
      </c>
      <c r="X108" s="24">
        <f t="shared" si="15"/>
        <v>53392098.368627995</v>
      </c>
      <c r="Y108" s="21">
        <v>5547035.1063599996</v>
      </c>
      <c r="Z108" s="21">
        <v>47845063.262267992</v>
      </c>
      <c r="AA108" s="21"/>
      <c r="AB108" s="24">
        <f t="shared" si="22"/>
        <v>85351615.927761123</v>
      </c>
      <c r="AC108" s="21">
        <v>31358051.100000001</v>
      </c>
      <c r="AD108" s="21"/>
      <c r="AE108" s="21"/>
      <c r="AF108" s="21"/>
      <c r="AG108" s="21"/>
      <c r="AH108" s="21"/>
      <c r="AI108" s="21"/>
      <c r="AJ108" s="25">
        <f t="shared" si="16"/>
        <v>416566715.47351772</v>
      </c>
    </row>
    <row r="109" spans="1:36" x14ac:dyDescent="0.3">
      <c r="A109" s="17">
        <f t="shared" si="17"/>
        <v>100</v>
      </c>
      <c r="B109" s="28" t="s">
        <v>165</v>
      </c>
      <c r="C109" s="33">
        <v>270147</v>
      </c>
      <c r="D109" s="34">
        <v>1340014</v>
      </c>
      <c r="E109" s="20"/>
      <c r="F109" s="21">
        <f t="shared" si="18"/>
        <v>170663192.36999997</v>
      </c>
      <c r="G109" s="21">
        <v>168973457.78999996</v>
      </c>
      <c r="H109" s="22">
        <v>1689734.58</v>
      </c>
      <c r="I109" s="21">
        <f t="shared" si="25"/>
        <v>80454690.870000005</v>
      </c>
      <c r="J109" s="21">
        <f t="shared" si="19"/>
        <v>47263697.410000004</v>
      </c>
      <c r="K109" s="21">
        <v>22068963.93</v>
      </c>
      <c r="L109" s="21">
        <v>24342337.129999999</v>
      </c>
      <c r="M109" s="21">
        <v>852396.35000000009</v>
      </c>
      <c r="N109" s="21">
        <v>4386590.12</v>
      </c>
      <c r="O109" s="21">
        <f t="shared" si="14"/>
        <v>28804403.34</v>
      </c>
      <c r="P109" s="21">
        <v>4453550.9399999995</v>
      </c>
      <c r="Q109" s="21">
        <v>16264889.9</v>
      </c>
      <c r="R109" s="21">
        <v>8085962.5</v>
      </c>
      <c r="S109" s="23">
        <v>10504393.200000001</v>
      </c>
      <c r="T109" s="24">
        <f t="shared" si="24"/>
        <v>261622276.43999997</v>
      </c>
      <c r="U109" s="21">
        <f t="shared" si="20"/>
        <v>298005445.02000016</v>
      </c>
      <c r="V109" s="21">
        <f t="shared" si="21"/>
        <v>298005445.02000016</v>
      </c>
      <c r="W109" s="21">
        <v>251837316.06</v>
      </c>
      <c r="X109" s="24">
        <f t="shared" si="15"/>
        <v>46168128.96000015</v>
      </c>
      <c r="Y109" s="21">
        <v>20264063.43999999</v>
      </c>
      <c r="Z109" s="21">
        <v>25904065.52000016</v>
      </c>
      <c r="AA109" s="21"/>
      <c r="AB109" s="24">
        <f t="shared" si="22"/>
        <v>251837316.06</v>
      </c>
      <c r="AC109" s="21">
        <v>52425235.079999998</v>
      </c>
      <c r="AD109" s="21"/>
      <c r="AE109" s="21"/>
      <c r="AF109" s="21"/>
      <c r="AG109" s="21"/>
      <c r="AH109" s="21"/>
      <c r="AI109" s="21"/>
      <c r="AJ109" s="25">
        <f t="shared" si="16"/>
        <v>612052956.5400002</v>
      </c>
    </row>
    <row r="110" spans="1:36" ht="56.25" x14ac:dyDescent="0.3">
      <c r="A110" s="17">
        <f t="shared" si="17"/>
        <v>101</v>
      </c>
      <c r="B110" s="28" t="s">
        <v>166</v>
      </c>
      <c r="C110" s="33">
        <v>270061</v>
      </c>
      <c r="D110" s="34">
        <v>1307014</v>
      </c>
      <c r="E110" s="20"/>
      <c r="F110" s="21">
        <f t="shared" si="18"/>
        <v>0</v>
      </c>
      <c r="G110" s="21"/>
      <c r="H110" s="22"/>
      <c r="I110" s="21">
        <f t="shared" si="25"/>
        <v>48830241.600000001</v>
      </c>
      <c r="J110" s="21">
        <f t="shared" si="19"/>
        <v>0</v>
      </c>
      <c r="K110" s="21"/>
      <c r="L110" s="21"/>
      <c r="M110" s="21"/>
      <c r="N110" s="21"/>
      <c r="O110" s="21">
        <f t="shared" si="14"/>
        <v>48830241.600000001</v>
      </c>
      <c r="P110" s="21">
        <v>48830241.600000001</v>
      </c>
      <c r="Q110" s="21">
        <v>0</v>
      </c>
      <c r="R110" s="21"/>
      <c r="S110" s="23"/>
      <c r="T110" s="24">
        <f t="shared" si="24"/>
        <v>48830241.600000001</v>
      </c>
      <c r="U110" s="21">
        <f t="shared" si="20"/>
        <v>0</v>
      </c>
      <c r="V110" s="21">
        <f t="shared" si="21"/>
        <v>0</v>
      </c>
      <c r="W110" s="21"/>
      <c r="X110" s="24">
        <f t="shared" si="15"/>
        <v>0</v>
      </c>
      <c r="Y110" s="21"/>
      <c r="Z110" s="21"/>
      <c r="AA110" s="21"/>
      <c r="AB110" s="24">
        <f t="shared" si="22"/>
        <v>0</v>
      </c>
      <c r="AC110" s="21"/>
      <c r="AD110" s="21"/>
      <c r="AE110" s="21"/>
      <c r="AF110" s="21"/>
      <c r="AG110" s="21"/>
      <c r="AH110" s="21"/>
      <c r="AI110" s="21"/>
      <c r="AJ110" s="25">
        <f t="shared" si="16"/>
        <v>48830241.600000001</v>
      </c>
    </row>
    <row r="111" spans="1:36" x14ac:dyDescent="0.3">
      <c r="A111" s="17">
        <f t="shared" si="17"/>
        <v>102</v>
      </c>
      <c r="B111" s="18" t="s">
        <v>167</v>
      </c>
      <c r="C111" s="33">
        <v>270068</v>
      </c>
      <c r="D111" s="34">
        <v>1340006</v>
      </c>
      <c r="E111" s="20">
        <v>1</v>
      </c>
      <c r="F111" s="21">
        <f t="shared" si="18"/>
        <v>129114048.22999999</v>
      </c>
      <c r="G111" s="21">
        <v>125353444.88</v>
      </c>
      <c r="H111" s="22">
        <v>3760603.35</v>
      </c>
      <c r="I111" s="21">
        <f t="shared" si="25"/>
        <v>88972092.882536888</v>
      </c>
      <c r="J111" s="21">
        <f t="shared" si="19"/>
        <v>54180112.772536896</v>
      </c>
      <c r="K111" s="21">
        <f>33317476.0232473-3000000</f>
        <v>30317476.023247302</v>
      </c>
      <c r="L111" s="21">
        <v>22146836.2392896</v>
      </c>
      <c r="M111" s="21">
        <v>1715800.51</v>
      </c>
      <c r="N111" s="21">
        <v>3731692.73</v>
      </c>
      <c r="O111" s="21">
        <f t="shared" si="14"/>
        <v>31060287.379999999</v>
      </c>
      <c r="P111" s="21">
        <f>12991993.28-91268</f>
        <v>12900725.279999999</v>
      </c>
      <c r="Q111" s="21">
        <v>7132474.6000000006</v>
      </c>
      <c r="R111" s="21">
        <v>11027087.5</v>
      </c>
      <c r="S111" s="23">
        <v>3945312</v>
      </c>
      <c r="T111" s="24">
        <f t="shared" si="24"/>
        <v>222031453.11253688</v>
      </c>
      <c r="U111" s="21">
        <f t="shared" si="20"/>
        <v>162269119.97295785</v>
      </c>
      <c r="V111" s="21">
        <f t="shared" si="21"/>
        <v>162269119.97295785</v>
      </c>
      <c r="W111" s="21">
        <v>133743260.59388587</v>
      </c>
      <c r="X111" s="24">
        <f t="shared" si="15"/>
        <v>28525859.379071996</v>
      </c>
      <c r="Y111" s="21">
        <v>11158470.636479998</v>
      </c>
      <c r="Z111" s="21">
        <v>17367388.742591999</v>
      </c>
      <c r="AA111" s="21"/>
      <c r="AB111" s="24">
        <f t="shared" si="22"/>
        <v>133743260.59388587</v>
      </c>
      <c r="AC111" s="21">
        <v>34052172</v>
      </c>
      <c r="AD111" s="21"/>
      <c r="AE111" s="21"/>
      <c r="AF111" s="21"/>
      <c r="AG111" s="21"/>
      <c r="AH111" s="21"/>
      <c r="AI111" s="21"/>
      <c r="AJ111" s="25">
        <f t="shared" si="16"/>
        <v>418352745.08549476</v>
      </c>
    </row>
    <row r="112" spans="1:36" ht="37.5" x14ac:dyDescent="0.3">
      <c r="A112" s="17">
        <f t="shared" si="17"/>
        <v>103</v>
      </c>
      <c r="B112" s="18" t="s">
        <v>168</v>
      </c>
      <c r="C112" s="33">
        <v>270069</v>
      </c>
      <c r="D112" s="34">
        <v>6349008</v>
      </c>
      <c r="E112" s="20">
        <v>1</v>
      </c>
      <c r="F112" s="21">
        <f t="shared" si="18"/>
        <v>3413596.18</v>
      </c>
      <c r="G112" s="21">
        <v>3314171.0500000003</v>
      </c>
      <c r="H112" s="22">
        <v>99425.13</v>
      </c>
      <c r="I112" s="21">
        <f t="shared" si="25"/>
        <v>24708564.442072023</v>
      </c>
      <c r="J112" s="21">
        <f t="shared" si="19"/>
        <v>12429046.765013199</v>
      </c>
      <c r="K112" s="21">
        <f>11947654.8650132-1100000</f>
        <v>10847654.865013201</v>
      </c>
      <c r="L112" s="21">
        <v>976698.62</v>
      </c>
      <c r="M112" s="21">
        <v>604693.28</v>
      </c>
      <c r="N112" s="21">
        <v>1842417.4070588234</v>
      </c>
      <c r="O112" s="21">
        <f t="shared" si="14"/>
        <v>10437100.27</v>
      </c>
      <c r="P112" s="21">
        <f>6298214.8-18253.6</f>
        <v>6279961.2000000002</v>
      </c>
      <c r="Q112" s="21">
        <v>766320.32000000007</v>
      </c>
      <c r="R112" s="21">
        <v>3390818.75</v>
      </c>
      <c r="S112" s="23"/>
      <c r="T112" s="24">
        <f t="shared" si="24"/>
        <v>28122160.622072022</v>
      </c>
      <c r="U112" s="21">
        <f t="shared" si="20"/>
        <v>37235561.495999999</v>
      </c>
      <c r="V112" s="21">
        <f t="shared" si="21"/>
        <v>37235561.495999999</v>
      </c>
      <c r="W112" s="21">
        <v>30029097.335999999</v>
      </c>
      <c r="X112" s="24">
        <f t="shared" si="15"/>
        <v>7206464.1600000011</v>
      </c>
      <c r="Y112" s="21"/>
      <c r="Z112" s="21">
        <v>7206464.1600000011</v>
      </c>
      <c r="AA112" s="21"/>
      <c r="AB112" s="24">
        <f t="shared" si="22"/>
        <v>30029097.335999999</v>
      </c>
      <c r="AC112" s="21"/>
      <c r="AD112" s="21"/>
      <c r="AE112" s="21"/>
      <c r="AF112" s="21"/>
      <c r="AG112" s="21"/>
      <c r="AH112" s="21"/>
      <c r="AI112" s="21"/>
      <c r="AJ112" s="25">
        <f t="shared" si="16"/>
        <v>65357722.118072018</v>
      </c>
    </row>
    <row r="113" spans="1:36" ht="37.5" x14ac:dyDescent="0.3">
      <c r="A113" s="17">
        <f t="shared" si="17"/>
        <v>104</v>
      </c>
      <c r="B113" s="18" t="s">
        <v>169</v>
      </c>
      <c r="C113" s="33">
        <v>270091</v>
      </c>
      <c r="D113" s="34">
        <v>1340007</v>
      </c>
      <c r="E113" s="20">
        <v>1</v>
      </c>
      <c r="F113" s="21">
        <f t="shared" si="18"/>
        <v>138762193.17999998</v>
      </c>
      <c r="G113" s="21">
        <v>134720575.89999998</v>
      </c>
      <c r="H113" s="22">
        <v>4041617.28</v>
      </c>
      <c r="I113" s="21">
        <f t="shared" si="25"/>
        <v>168439556.92965618</v>
      </c>
      <c r="J113" s="21">
        <f t="shared" si="19"/>
        <v>86624484.273646206</v>
      </c>
      <c r="K113" s="21">
        <f>53245575.4860622-2300000</f>
        <v>50945575.486062199</v>
      </c>
      <c r="L113" s="21">
        <v>32606038.567584004</v>
      </c>
      <c r="M113" s="21">
        <v>3072870.22</v>
      </c>
      <c r="N113" s="21">
        <v>6100393.9760099752</v>
      </c>
      <c r="O113" s="21">
        <f t="shared" si="14"/>
        <v>75714678.679999992</v>
      </c>
      <c r="P113" s="21">
        <v>32438752.999999993</v>
      </c>
      <c r="Q113" s="21">
        <v>27679438.18</v>
      </c>
      <c r="R113" s="21">
        <v>15596487.5</v>
      </c>
      <c r="S113" s="23">
        <v>1775390.4000000001</v>
      </c>
      <c r="T113" s="24">
        <f t="shared" si="24"/>
        <v>308977140.50965613</v>
      </c>
      <c r="U113" s="21">
        <f t="shared" si="20"/>
        <v>224324557.37456813</v>
      </c>
      <c r="V113" s="21">
        <f t="shared" si="21"/>
        <v>224324557.37456813</v>
      </c>
      <c r="W113" s="21">
        <v>204337683.42158213</v>
      </c>
      <c r="X113" s="24">
        <f t="shared" si="15"/>
        <v>19986873.952986002</v>
      </c>
      <c r="Y113" s="21"/>
      <c r="Z113" s="21">
        <v>19986873.952986002</v>
      </c>
      <c r="AA113" s="21"/>
      <c r="AB113" s="24">
        <f t="shared" si="22"/>
        <v>204337683.42158213</v>
      </c>
      <c r="AC113" s="21">
        <v>38810148.299999997</v>
      </c>
      <c r="AD113" s="21"/>
      <c r="AE113" s="21"/>
      <c r="AF113" s="21"/>
      <c r="AG113" s="21"/>
      <c r="AH113" s="21"/>
      <c r="AI113" s="21">
        <v>183829</v>
      </c>
      <c r="AJ113" s="25">
        <f>T113+U113+AC113+AI113</f>
        <v>572295675.18422425</v>
      </c>
    </row>
    <row r="114" spans="1:36" x14ac:dyDescent="0.3">
      <c r="A114" s="17">
        <f t="shared" si="17"/>
        <v>105</v>
      </c>
      <c r="B114" s="18" t="s">
        <v>170</v>
      </c>
      <c r="C114" s="33">
        <v>270139</v>
      </c>
      <c r="D114" s="34">
        <v>1304001</v>
      </c>
      <c r="E114" s="20"/>
      <c r="F114" s="21">
        <f t="shared" si="18"/>
        <v>0</v>
      </c>
      <c r="G114" s="21"/>
      <c r="H114" s="22"/>
      <c r="I114" s="21">
        <f t="shared" si="25"/>
        <v>2872357</v>
      </c>
      <c r="J114" s="21">
        <f t="shared" si="19"/>
        <v>0</v>
      </c>
      <c r="K114" s="21"/>
      <c r="L114" s="21"/>
      <c r="M114" s="21"/>
      <c r="N114" s="21"/>
      <c r="O114" s="21">
        <f t="shared" si="14"/>
        <v>2872357</v>
      </c>
      <c r="P114" s="21">
        <v>2872357</v>
      </c>
      <c r="Q114" s="21"/>
      <c r="R114" s="21"/>
      <c r="S114" s="23"/>
      <c r="T114" s="24">
        <f t="shared" si="24"/>
        <v>2872357</v>
      </c>
      <c r="U114" s="21">
        <f t="shared" si="20"/>
        <v>0</v>
      </c>
      <c r="V114" s="21">
        <f t="shared" si="21"/>
        <v>0</v>
      </c>
      <c r="W114" s="21"/>
      <c r="X114" s="24">
        <f t="shared" si="15"/>
        <v>0</v>
      </c>
      <c r="Y114" s="21"/>
      <c r="Z114" s="21"/>
      <c r="AA114" s="21"/>
      <c r="AB114" s="24">
        <f t="shared" si="22"/>
        <v>0</v>
      </c>
      <c r="AC114" s="21"/>
      <c r="AD114" s="21"/>
      <c r="AE114" s="21"/>
      <c r="AF114" s="21"/>
      <c r="AG114" s="21"/>
      <c r="AH114" s="21"/>
      <c r="AI114" s="21"/>
      <c r="AJ114" s="25">
        <f t="shared" si="16"/>
        <v>2872357</v>
      </c>
    </row>
    <row r="115" spans="1:36" x14ac:dyDescent="0.3">
      <c r="A115" s="17">
        <f t="shared" si="17"/>
        <v>106</v>
      </c>
      <c r="B115" s="18" t="s">
        <v>171</v>
      </c>
      <c r="C115" s="33">
        <v>270224</v>
      </c>
      <c r="D115" s="34">
        <v>1138224</v>
      </c>
      <c r="E115" s="20"/>
      <c r="F115" s="21">
        <f t="shared" si="18"/>
        <v>0</v>
      </c>
      <c r="G115" s="21"/>
      <c r="H115" s="22"/>
      <c r="I115" s="21">
        <f t="shared" si="25"/>
        <v>280026.76799999998</v>
      </c>
      <c r="J115" s="21">
        <f t="shared" si="19"/>
        <v>0</v>
      </c>
      <c r="K115" s="21"/>
      <c r="L115" s="21"/>
      <c r="M115" s="21"/>
      <c r="N115" s="21"/>
      <c r="O115" s="21">
        <f t="shared" si="14"/>
        <v>280026.76799999998</v>
      </c>
      <c r="P115" s="21">
        <v>280026.76799999998</v>
      </c>
      <c r="Q115" s="21"/>
      <c r="R115" s="21"/>
      <c r="S115" s="23"/>
      <c r="T115" s="24">
        <f t="shared" si="24"/>
        <v>280026.76799999998</v>
      </c>
      <c r="U115" s="21">
        <f t="shared" si="20"/>
        <v>0</v>
      </c>
      <c r="V115" s="21">
        <f t="shared" si="21"/>
        <v>0</v>
      </c>
      <c r="W115" s="21"/>
      <c r="X115" s="24">
        <f t="shared" si="15"/>
        <v>0</v>
      </c>
      <c r="Y115" s="21"/>
      <c r="Z115" s="21"/>
      <c r="AA115" s="21"/>
      <c r="AB115" s="24">
        <f t="shared" si="22"/>
        <v>0</v>
      </c>
      <c r="AC115" s="21"/>
      <c r="AD115" s="21"/>
      <c r="AE115" s="21"/>
      <c r="AF115" s="21"/>
      <c r="AG115" s="21"/>
      <c r="AH115" s="21"/>
      <c r="AI115" s="21"/>
      <c r="AJ115" s="25">
        <f t="shared" si="16"/>
        <v>280026.76799999998</v>
      </c>
    </row>
    <row r="116" spans="1:36" ht="37.5" x14ac:dyDescent="0.3">
      <c r="A116" s="17">
        <f t="shared" si="17"/>
        <v>107</v>
      </c>
      <c r="B116" s="18" t="s">
        <v>172</v>
      </c>
      <c r="C116" s="33">
        <v>270156</v>
      </c>
      <c r="D116" s="34">
        <v>1343008</v>
      </c>
      <c r="E116" s="20">
        <v>1</v>
      </c>
      <c r="F116" s="21">
        <f t="shared" si="18"/>
        <v>57074629.24000001</v>
      </c>
      <c r="G116" s="21">
        <v>55412261.400000006</v>
      </c>
      <c r="H116" s="22">
        <v>1662367.84</v>
      </c>
      <c r="I116" s="21">
        <f t="shared" si="25"/>
        <v>72882014.773842365</v>
      </c>
      <c r="J116" s="21">
        <f t="shared" si="19"/>
        <v>42486439.388052896</v>
      </c>
      <c r="K116" s="21">
        <f>27452986.5141649-1400000</f>
        <v>26052986.514164899</v>
      </c>
      <c r="L116" s="21">
        <v>15209918.713888001</v>
      </c>
      <c r="M116" s="21">
        <v>1223534.1599999999</v>
      </c>
      <c r="N116" s="21">
        <f>1363806.31578947-759855.16-353065.26</f>
        <v>250885.89578946994</v>
      </c>
      <c r="O116" s="21">
        <f>P116+Q116+R116</f>
        <v>30144689.489999998</v>
      </c>
      <c r="P116" s="21">
        <f>19053541.81-344674-129484.32</f>
        <v>18579383.489999998</v>
      </c>
      <c r="Q116" s="21">
        <f>3883380+647230+129446</f>
        <v>4660056</v>
      </c>
      <c r="R116" s="21">
        <v>6905250</v>
      </c>
      <c r="S116" s="23">
        <v>16767576.000000002</v>
      </c>
      <c r="T116" s="24">
        <f t="shared" si="24"/>
        <v>146724220.01384237</v>
      </c>
      <c r="U116" s="21">
        <f t="shared" si="20"/>
        <v>150040659.00618678</v>
      </c>
      <c r="V116" s="21">
        <f t="shared" si="21"/>
        <v>150040659.00618678</v>
      </c>
      <c r="W116" s="21">
        <v>115885407.34717879</v>
      </c>
      <c r="X116" s="24">
        <f t="shared" si="15"/>
        <v>34155251.659007996</v>
      </c>
      <c r="Y116" s="21">
        <v>18526723.488000002</v>
      </c>
      <c r="Z116" s="21">
        <v>15628528.171007998</v>
      </c>
      <c r="AA116" s="21"/>
      <c r="AB116" s="24">
        <f t="shared" si="22"/>
        <v>115885407.34717879</v>
      </c>
      <c r="AC116" s="21">
        <v>31490199</v>
      </c>
      <c r="AD116" s="21"/>
      <c r="AE116" s="21"/>
      <c r="AF116" s="21"/>
      <c r="AG116" s="21"/>
      <c r="AH116" s="21"/>
      <c r="AI116" s="21"/>
      <c r="AJ116" s="25">
        <f t="shared" si="16"/>
        <v>328255078.02002919</v>
      </c>
    </row>
    <row r="117" spans="1:36" ht="24.6" customHeight="1" x14ac:dyDescent="0.3">
      <c r="A117" s="17">
        <f t="shared" si="17"/>
        <v>108</v>
      </c>
      <c r="B117" s="28" t="s">
        <v>173</v>
      </c>
      <c r="C117" s="33">
        <v>270088</v>
      </c>
      <c r="D117" s="34">
        <v>1340010</v>
      </c>
      <c r="E117" s="20">
        <v>1</v>
      </c>
      <c r="F117" s="21">
        <f t="shared" si="18"/>
        <v>212043630.90000004</v>
      </c>
      <c r="G117" s="21">
        <v>205867602.82000002</v>
      </c>
      <c r="H117" s="22">
        <v>6176028.0800000001</v>
      </c>
      <c r="I117" s="21">
        <f t="shared" si="25"/>
        <v>106376747.83573863</v>
      </c>
      <c r="J117" s="21">
        <f t="shared" si="19"/>
        <v>71351064.47573863</v>
      </c>
      <c r="K117" s="21">
        <f>43670124.1951783-1370000</f>
        <v>42300124.1951783</v>
      </c>
      <c r="L117" s="21">
        <v>28140494.090560328</v>
      </c>
      <c r="M117" s="21">
        <v>910446.19</v>
      </c>
      <c r="N117" s="21">
        <f>1204873.9-223950.34</f>
        <v>980923.55999999994</v>
      </c>
      <c r="O117" s="21">
        <f t="shared" si="14"/>
        <v>34044759.799999997</v>
      </c>
      <c r="P117" s="21">
        <f>8220403-286422</f>
        <v>7933981</v>
      </c>
      <c r="Q117" s="21">
        <v>5863903.7999999998</v>
      </c>
      <c r="R117" s="21">
        <v>20246875</v>
      </c>
      <c r="S117" s="23">
        <v>16373044.800000003</v>
      </c>
      <c r="T117" s="24">
        <f t="shared" si="24"/>
        <v>334793423.53573865</v>
      </c>
      <c r="U117" s="21">
        <f t="shared" si="20"/>
        <v>150906236.95891017</v>
      </c>
      <c r="V117" s="21">
        <f t="shared" si="21"/>
        <v>150906236.95891017</v>
      </c>
      <c r="W117" s="21">
        <v>133249638.26294218</v>
      </c>
      <c r="X117" s="24">
        <f t="shared" si="15"/>
        <v>17656598.695968002</v>
      </c>
      <c r="Y117" s="21">
        <v>9709540.3039680012</v>
      </c>
      <c r="Z117" s="21">
        <v>7947058.392</v>
      </c>
      <c r="AA117" s="21"/>
      <c r="AB117" s="24">
        <f t="shared" si="22"/>
        <v>133249638.26294218</v>
      </c>
      <c r="AC117" s="21">
        <v>31957344</v>
      </c>
      <c r="AD117" s="21"/>
      <c r="AE117" s="21"/>
      <c r="AF117" s="21"/>
      <c r="AG117" s="21"/>
      <c r="AH117" s="21"/>
      <c r="AI117" s="21"/>
      <c r="AJ117" s="25">
        <f t="shared" si="16"/>
        <v>517657004.49464881</v>
      </c>
    </row>
    <row r="118" spans="1:36" ht="37.5" x14ac:dyDescent="0.3">
      <c r="A118" s="17">
        <f t="shared" si="17"/>
        <v>109</v>
      </c>
      <c r="B118" s="18" t="s">
        <v>174</v>
      </c>
      <c r="C118" s="33">
        <v>270170</v>
      </c>
      <c r="D118" s="34">
        <v>1343004</v>
      </c>
      <c r="E118" s="20">
        <v>1</v>
      </c>
      <c r="F118" s="21">
        <f t="shared" si="18"/>
        <v>146668780.59999999</v>
      </c>
      <c r="G118" s="21">
        <v>142396874.37</v>
      </c>
      <c r="H118" s="22">
        <v>4271906.2300000004</v>
      </c>
      <c r="I118" s="21">
        <f t="shared" si="25"/>
        <v>104127618.32329109</v>
      </c>
      <c r="J118" s="21">
        <f t="shared" si="19"/>
        <v>70772292.443291098</v>
      </c>
      <c r="K118" s="21">
        <f>43279087.6614543-3090000</f>
        <v>40189087.661454298</v>
      </c>
      <c r="L118" s="21">
        <v>29244952.961836807</v>
      </c>
      <c r="M118" s="21">
        <v>1338251.82</v>
      </c>
      <c r="N118" s="21">
        <v>1518002</v>
      </c>
      <c r="O118" s="21">
        <f t="shared" si="14"/>
        <v>31837323.879999999</v>
      </c>
      <c r="P118" s="21">
        <v>6535506.8700000001</v>
      </c>
      <c r="Q118" s="21">
        <v>8292310.7599999998</v>
      </c>
      <c r="R118" s="21">
        <v>17009506.25</v>
      </c>
      <c r="S118" s="23">
        <v>7101561.6000000006</v>
      </c>
      <c r="T118" s="24">
        <f t="shared" si="24"/>
        <v>257897960.52329108</v>
      </c>
      <c r="U118" s="21">
        <f t="shared" si="20"/>
        <v>170512208.87936908</v>
      </c>
      <c r="V118" s="21">
        <f t="shared" si="21"/>
        <v>170512208.87936908</v>
      </c>
      <c r="W118" s="21">
        <v>155589028.94707707</v>
      </c>
      <c r="X118" s="24">
        <f t="shared" si="15"/>
        <v>14923179.932291999</v>
      </c>
      <c r="Y118" s="21">
        <v>4397357.1599999992</v>
      </c>
      <c r="Z118" s="21">
        <v>10525822.772291999</v>
      </c>
      <c r="AA118" s="21"/>
      <c r="AB118" s="24">
        <f t="shared" si="22"/>
        <v>155589028.94707707</v>
      </c>
      <c r="AC118" s="21">
        <v>34527584</v>
      </c>
      <c r="AD118" s="21"/>
      <c r="AE118" s="21"/>
      <c r="AF118" s="21"/>
      <c r="AG118" s="21"/>
      <c r="AH118" s="21"/>
      <c r="AI118" s="21"/>
      <c r="AJ118" s="25">
        <f t="shared" si="16"/>
        <v>462937753.40266013</v>
      </c>
    </row>
    <row r="119" spans="1:36" ht="37.5" x14ac:dyDescent="0.3">
      <c r="A119" s="17">
        <f t="shared" si="17"/>
        <v>110</v>
      </c>
      <c r="B119" s="18" t="s">
        <v>175</v>
      </c>
      <c r="C119" s="33">
        <v>270171</v>
      </c>
      <c r="D119" s="34">
        <v>1343171</v>
      </c>
      <c r="E119" s="20">
        <v>1</v>
      </c>
      <c r="F119" s="21">
        <f t="shared" si="18"/>
        <v>120100761.17000002</v>
      </c>
      <c r="G119" s="21">
        <v>116602680.75000001</v>
      </c>
      <c r="H119" s="22">
        <v>3498080.42</v>
      </c>
      <c r="I119" s="21">
        <f t="shared" si="25"/>
        <v>70001045.142126903</v>
      </c>
      <c r="J119" s="21">
        <f t="shared" si="19"/>
        <v>39999251.642126903</v>
      </c>
      <c r="K119" s="21">
        <f>24890177.8363253-1900000</f>
        <v>22990177.836325299</v>
      </c>
      <c r="L119" s="21">
        <v>15870387.245801602</v>
      </c>
      <c r="M119" s="21">
        <v>1138686.56</v>
      </c>
      <c r="N119" s="21">
        <v>727244.5</v>
      </c>
      <c r="O119" s="21">
        <f t="shared" si="14"/>
        <v>29274549</v>
      </c>
      <c r="P119" s="21">
        <v>8717794</v>
      </c>
      <c r="Q119" s="21">
        <v>13591830</v>
      </c>
      <c r="R119" s="21">
        <v>6964925</v>
      </c>
      <c r="S119" s="23">
        <v>29589840</v>
      </c>
      <c r="T119" s="24">
        <f t="shared" si="24"/>
        <v>219691646.31212693</v>
      </c>
      <c r="U119" s="21">
        <f t="shared" si="20"/>
        <v>106118653.79288623</v>
      </c>
      <c r="V119" s="21">
        <f t="shared" si="21"/>
        <v>106118653.79288623</v>
      </c>
      <c r="W119" s="21">
        <v>93886733.895110235</v>
      </c>
      <c r="X119" s="24">
        <f t="shared" si="15"/>
        <v>12231919.897775996</v>
      </c>
      <c r="Y119" s="21">
        <v>8309452.2470279969</v>
      </c>
      <c r="Z119" s="21">
        <v>3922467.6507480005</v>
      </c>
      <c r="AA119" s="21"/>
      <c r="AB119" s="24">
        <f t="shared" si="22"/>
        <v>93886733.895110235</v>
      </c>
      <c r="AC119" s="21">
        <v>20006646</v>
      </c>
      <c r="AD119" s="21"/>
      <c r="AE119" s="21"/>
      <c r="AF119" s="21"/>
      <c r="AG119" s="21"/>
      <c r="AH119" s="21"/>
      <c r="AI119" s="21"/>
      <c r="AJ119" s="25">
        <f t="shared" si="16"/>
        <v>345816946.10501313</v>
      </c>
    </row>
    <row r="120" spans="1:36" ht="37.5" x14ac:dyDescent="0.3">
      <c r="A120" s="17">
        <f t="shared" si="17"/>
        <v>111</v>
      </c>
      <c r="B120" s="18" t="s">
        <v>176</v>
      </c>
      <c r="C120" s="33">
        <v>270095</v>
      </c>
      <c r="D120" s="34">
        <v>1340003</v>
      </c>
      <c r="E120" s="20">
        <v>1</v>
      </c>
      <c r="F120" s="21">
        <f t="shared" si="18"/>
        <v>33738342.979999997</v>
      </c>
      <c r="G120" s="21">
        <v>32755672.799999997</v>
      </c>
      <c r="H120" s="22">
        <v>982670.18</v>
      </c>
      <c r="I120" s="21">
        <f t="shared" si="25"/>
        <v>7451254.6171190003</v>
      </c>
      <c r="J120" s="21">
        <f t="shared" si="19"/>
        <v>4698374.0671190005</v>
      </c>
      <c r="K120" s="21">
        <v>2718986.9965398</v>
      </c>
      <c r="L120" s="21">
        <v>1820121.2805792002</v>
      </c>
      <c r="M120" s="21">
        <v>159265.79</v>
      </c>
      <c r="N120" s="21"/>
      <c r="O120" s="21">
        <f>P120+Q120+R120</f>
        <v>2752880.55</v>
      </c>
      <c r="P120" s="21">
        <v>964793</v>
      </c>
      <c r="Q120" s="21">
        <v>524256.3</v>
      </c>
      <c r="R120" s="21">
        <v>1263831.25</v>
      </c>
      <c r="S120" s="23"/>
      <c r="T120" s="24">
        <f t="shared" si="24"/>
        <v>41189597.597118996</v>
      </c>
      <c r="U120" s="21">
        <f t="shared" si="20"/>
        <v>8670635.9121633191</v>
      </c>
      <c r="V120" s="21">
        <f t="shared" si="21"/>
        <v>8670635.9121633191</v>
      </c>
      <c r="W120" s="21">
        <v>5909705.4008193193</v>
      </c>
      <c r="X120" s="24">
        <f t="shared" si="15"/>
        <v>2760930.5113439998</v>
      </c>
      <c r="Y120" s="21">
        <v>1898076.559968</v>
      </c>
      <c r="Z120" s="21">
        <v>862853.95137599984</v>
      </c>
      <c r="AA120" s="21"/>
      <c r="AB120" s="24">
        <f t="shared" si="22"/>
        <v>5909705.4008193193</v>
      </c>
      <c r="AC120" s="21">
        <v>2698599.2</v>
      </c>
      <c r="AD120" s="21">
        <f>AE120+AG120+AH120+AF120</f>
        <v>13877270.98</v>
      </c>
      <c r="AE120" s="21">
        <v>3660130.4</v>
      </c>
      <c r="AF120" s="21">
        <v>109803.91</v>
      </c>
      <c r="AG120" s="21">
        <v>7154182.5</v>
      </c>
      <c r="AH120" s="21">
        <v>2953154.17</v>
      </c>
      <c r="AI120" s="21"/>
      <c r="AJ120" s="25">
        <f>T120+U120+AC120+AI120+AD120</f>
        <v>66436103.689282313</v>
      </c>
    </row>
    <row r="121" spans="1:36" ht="24" customHeight="1" x14ac:dyDescent="0.3">
      <c r="A121" s="17">
        <f t="shared" si="17"/>
        <v>112</v>
      </c>
      <c r="B121" s="18" t="s">
        <v>177</v>
      </c>
      <c r="C121" s="33">
        <v>270065</v>
      </c>
      <c r="D121" s="34">
        <v>1340001</v>
      </c>
      <c r="E121" s="20">
        <v>1</v>
      </c>
      <c r="F121" s="21">
        <f t="shared" si="18"/>
        <v>35734846.240000002</v>
      </c>
      <c r="G121" s="21">
        <v>34694025.480000004</v>
      </c>
      <c r="H121" s="22">
        <v>1040820.76</v>
      </c>
      <c r="I121" s="21">
        <f t="shared" si="25"/>
        <v>14975994.733768679</v>
      </c>
      <c r="J121" s="21">
        <f t="shared" si="19"/>
        <v>6927790.3537686802</v>
      </c>
      <c r="K121" s="21">
        <v>3969933.1249584402</v>
      </c>
      <c r="L121" s="21">
        <v>2798667.8288102397</v>
      </c>
      <c r="M121" s="21">
        <v>159189.4</v>
      </c>
      <c r="N121" s="21"/>
      <c r="O121" s="21">
        <f>P121+Q121+R121</f>
        <v>8048204.379999999</v>
      </c>
      <c r="P121" s="21">
        <v>4039380.4999999991</v>
      </c>
      <c r="Q121" s="21">
        <f>3436480/12*9</f>
        <v>2577360</v>
      </c>
      <c r="R121" s="21">
        <v>1431463.88</v>
      </c>
      <c r="S121" s="23">
        <v>4975085.4000000004</v>
      </c>
      <c r="T121" s="24">
        <f t="shared" si="24"/>
        <v>55685926.37376868</v>
      </c>
      <c r="U121" s="21">
        <f t="shared" si="20"/>
        <v>44004806.310122199</v>
      </c>
      <c r="V121" s="21">
        <f>W121+X121</f>
        <v>44004806.310122199</v>
      </c>
      <c r="W121" s="21">
        <v>30138091.794737201</v>
      </c>
      <c r="X121" s="24">
        <f>Y121+Z121</f>
        <v>13866714.515384998</v>
      </c>
      <c r="Y121" s="21">
        <v>13421610.083384998</v>
      </c>
      <c r="Z121" s="21">
        <v>445104.43200000003</v>
      </c>
      <c r="AA121" s="21"/>
      <c r="AB121" s="24">
        <f t="shared" si="22"/>
        <v>30138091.794737201</v>
      </c>
      <c r="AC121" s="21">
        <v>4134686.5</v>
      </c>
      <c r="AD121" s="21">
        <f>AE121+AG121+AH121+AF121</f>
        <v>27021447.82</v>
      </c>
      <c r="AE121" s="21">
        <v>3767742.2199999997</v>
      </c>
      <c r="AF121" s="21">
        <v>113032.27</v>
      </c>
      <c r="AG121" s="21">
        <v>16203933.33</v>
      </c>
      <c r="AH121" s="21">
        <v>6936740</v>
      </c>
      <c r="AI121" s="21"/>
      <c r="AJ121" s="25">
        <f t="shared" ref="AJ121:AJ122" si="26">T121+U121+AC121+AI121+AD121</f>
        <v>130846867.00389087</v>
      </c>
    </row>
    <row r="122" spans="1:36" ht="25.9" customHeight="1" x14ac:dyDescent="0.3">
      <c r="A122" s="17">
        <f t="shared" si="17"/>
        <v>113</v>
      </c>
      <c r="B122" s="18" t="s">
        <v>178</v>
      </c>
      <c r="C122" s="33">
        <v>270089</v>
      </c>
      <c r="D122" s="34">
        <v>1340012</v>
      </c>
      <c r="E122" s="20">
        <v>1</v>
      </c>
      <c r="F122" s="21">
        <f t="shared" si="18"/>
        <v>127312544.97</v>
      </c>
      <c r="G122" s="21">
        <v>123604412.59</v>
      </c>
      <c r="H122" s="22">
        <v>3708132.38</v>
      </c>
      <c r="I122" s="21">
        <f t="shared" si="25"/>
        <v>37221698.291295923</v>
      </c>
      <c r="J122" s="21">
        <f t="shared" si="19"/>
        <v>21561721.223795921</v>
      </c>
      <c r="K122" s="21">
        <f>13661417.3762228-450000</f>
        <v>13211417.3762228</v>
      </c>
      <c r="L122" s="21">
        <v>7138551.7375731198</v>
      </c>
      <c r="M122" s="21">
        <v>1211752.1100000001</v>
      </c>
      <c r="N122" s="21">
        <v>157550.33749999999</v>
      </c>
      <c r="O122" s="21">
        <f t="shared" si="14"/>
        <v>15502426.73</v>
      </c>
      <c r="P122" s="21">
        <v>9424866</v>
      </c>
      <c r="Q122" s="21">
        <v>4382204.7300000004</v>
      </c>
      <c r="R122" s="21">
        <v>1695356</v>
      </c>
      <c r="S122" s="23">
        <v>12674314.800000001</v>
      </c>
      <c r="T122" s="24">
        <f t="shared" si="24"/>
        <v>177208558.06129593</v>
      </c>
      <c r="U122" s="21">
        <f t="shared" si="20"/>
        <v>69906915.892623246</v>
      </c>
      <c r="V122" s="21">
        <f t="shared" si="21"/>
        <v>69906915.892623246</v>
      </c>
      <c r="W122" s="21">
        <v>55526502.829535641</v>
      </c>
      <c r="X122" s="24">
        <f t="shared" si="15"/>
        <v>14380413.063087599</v>
      </c>
      <c r="Y122" s="21">
        <v>9039480.5351196006</v>
      </c>
      <c r="Z122" s="21">
        <v>5340932.5279679988</v>
      </c>
      <c r="AA122" s="21"/>
      <c r="AB122" s="24">
        <f t="shared" si="22"/>
        <v>55526502.829535641</v>
      </c>
      <c r="AC122" s="21">
        <v>15811045.800000001</v>
      </c>
      <c r="AD122" s="21">
        <f>AE122+AG122+AH122+AF122</f>
        <v>65821494.5</v>
      </c>
      <c r="AE122" s="21">
        <v>11742221.189999999</v>
      </c>
      <c r="AF122" s="21">
        <v>352266.64</v>
      </c>
      <c r="AG122" s="21">
        <v>40439300</v>
      </c>
      <c r="AH122" s="21">
        <v>13287706.67</v>
      </c>
      <c r="AI122" s="21"/>
      <c r="AJ122" s="25">
        <f t="shared" si="26"/>
        <v>328748014.25391918</v>
      </c>
    </row>
    <row r="123" spans="1:36" s="12" customFormat="1" ht="22.35" customHeight="1" x14ac:dyDescent="0.3">
      <c r="A123" s="36"/>
      <c r="B123" s="37" t="s">
        <v>180</v>
      </c>
      <c r="C123" s="38"/>
      <c r="D123" s="39"/>
      <c r="E123" s="40">
        <f>SUM(E10:E122)</f>
        <v>46</v>
      </c>
      <c r="F123" s="24">
        <f t="shared" si="18"/>
        <v>3673829530.500001</v>
      </c>
      <c r="G123" s="24">
        <f>SUM(G10:G122)</f>
        <v>3566824786.9100008</v>
      </c>
      <c r="H123" s="41">
        <f>SUM(H10:H122)</f>
        <v>107004743.59</v>
      </c>
      <c r="I123" s="25">
        <f>SUM(I10:I122)</f>
        <v>7763431260.8444405</v>
      </c>
      <c r="J123" s="25">
        <f t="shared" si="19"/>
        <v>2874331349.8430867</v>
      </c>
      <c r="K123" s="24">
        <f t="shared" ref="K123:R123" si="27">SUM(K10:K122)</f>
        <v>1689719569.8359766</v>
      </c>
      <c r="L123" s="24">
        <f t="shared" si="27"/>
        <v>1084211470.8971097</v>
      </c>
      <c r="M123" s="25">
        <f t="shared" si="27"/>
        <v>100400309.11000003</v>
      </c>
      <c r="N123" s="24">
        <f t="shared" si="27"/>
        <v>1441837087.1593561</v>
      </c>
      <c r="O123" s="24">
        <f t="shared" si="27"/>
        <v>3447262823.8420014</v>
      </c>
      <c r="P123" s="24">
        <f t="shared" si="27"/>
        <v>2036649710.6219997</v>
      </c>
      <c r="Q123" s="24">
        <f t="shared" si="27"/>
        <v>761309041.48999977</v>
      </c>
      <c r="R123" s="25">
        <f t="shared" si="27"/>
        <v>649304071.73000002</v>
      </c>
      <c r="S123" s="42">
        <f>SUM(S10:S122)</f>
        <v>267233472.00000003</v>
      </c>
      <c r="T123" s="25">
        <f>SUM(T10:T122)</f>
        <v>11704494263.344442</v>
      </c>
      <c r="U123" s="24">
        <f>SUM(U10:U122)</f>
        <v>16351978648.334743</v>
      </c>
      <c r="V123" s="24">
        <f>SUM(V10:V122)</f>
        <v>14871086288.53274</v>
      </c>
      <c r="W123" s="24">
        <v>11361300127.829273</v>
      </c>
      <c r="X123" s="24">
        <f>Y123+Z123</f>
        <v>3509786160.7034678</v>
      </c>
      <c r="Y123" s="24">
        <f>SUM(Y10:Y122)</f>
        <v>1179074103.036304</v>
      </c>
      <c r="Z123" s="24">
        <f>SUM(Z10:Z122)</f>
        <v>2330712057.6671638</v>
      </c>
      <c r="AA123" s="24">
        <v>1480892359.8019998</v>
      </c>
      <c r="AB123" s="24">
        <f t="shared" si="22"/>
        <v>12842192487.631273</v>
      </c>
      <c r="AC123" s="24">
        <f>SUM(AC10:AC122)</f>
        <v>1867821812</v>
      </c>
      <c r="AD123" s="24">
        <f>SUM(AD10:AD122)</f>
        <v>106720213.3</v>
      </c>
      <c r="AE123" s="24">
        <f t="shared" ref="AE123:AH123" si="28">SUM(AE10:AE122)</f>
        <v>19170093.809999999</v>
      </c>
      <c r="AF123" s="43">
        <f t="shared" si="28"/>
        <v>575102.82000000007</v>
      </c>
      <c r="AG123" s="24">
        <f t="shared" si="28"/>
        <v>63797415.829999998</v>
      </c>
      <c r="AH123" s="24">
        <f t="shared" si="28"/>
        <v>23177600.84</v>
      </c>
      <c r="AI123" s="24">
        <f>SUM(AI10:AI122)</f>
        <v>500343657.02999991</v>
      </c>
      <c r="AJ123" s="24">
        <f>SUM(AJ10:AJ122)</f>
        <v>30531358594.009186</v>
      </c>
    </row>
    <row r="124" spans="1:36" ht="22.35" hidden="1" customHeight="1" x14ac:dyDescent="0.3">
      <c r="A124" s="45"/>
      <c r="B124" s="46"/>
      <c r="C124" s="47"/>
      <c r="D124" s="48"/>
      <c r="E124" s="49"/>
      <c r="F124" s="50"/>
      <c r="G124" s="50"/>
      <c r="H124" s="50"/>
      <c r="I124" s="51"/>
      <c r="J124" s="51"/>
      <c r="K124" s="50"/>
      <c r="L124" s="50"/>
      <c r="M124" s="51"/>
      <c r="N124" s="50"/>
      <c r="O124" s="50"/>
      <c r="P124" s="50"/>
      <c r="Q124" s="50"/>
      <c r="R124" s="51"/>
      <c r="S124" s="52"/>
      <c r="T124" s="51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</row>
    <row r="125" spans="1:36" ht="22.35" hidden="1" customHeight="1" x14ac:dyDescent="0.3">
      <c r="A125" s="45"/>
      <c r="B125" s="46"/>
      <c r="C125" s="47"/>
      <c r="D125" s="48"/>
      <c r="E125" s="49"/>
      <c r="F125" s="50"/>
      <c r="G125" s="50"/>
      <c r="H125" s="50"/>
      <c r="I125" s="51"/>
      <c r="J125" s="51"/>
      <c r="K125" s="50"/>
      <c r="L125" s="50"/>
      <c r="M125" s="51"/>
      <c r="N125" s="50"/>
      <c r="O125" s="50"/>
      <c r="P125" s="50"/>
      <c r="Q125" s="50"/>
      <c r="R125" s="51"/>
      <c r="S125" s="52"/>
      <c r="T125" s="51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</row>
    <row r="126" spans="1:36" s="12" customFormat="1" ht="22.35" hidden="1" customHeight="1" x14ac:dyDescent="0.3">
      <c r="A126" s="53"/>
      <c r="B126" s="54"/>
      <c r="C126" s="55"/>
      <c r="D126" s="56"/>
      <c r="E126" s="57"/>
      <c r="F126" s="58"/>
      <c r="G126" s="58"/>
      <c r="H126" s="58"/>
      <c r="I126" s="58"/>
      <c r="J126" s="58"/>
      <c r="K126" s="58"/>
      <c r="L126" s="58"/>
      <c r="M126" s="58"/>
      <c r="N126" s="58"/>
      <c r="O126" s="58"/>
      <c r="P126" s="58"/>
      <c r="Q126" s="58"/>
      <c r="R126" s="58"/>
      <c r="S126" s="58"/>
      <c r="T126" s="58"/>
      <c r="U126" s="58"/>
      <c r="V126" s="58"/>
      <c r="W126" s="58"/>
      <c r="X126" s="58"/>
      <c r="Y126" s="58"/>
      <c r="Z126" s="58"/>
      <c r="AA126" s="58"/>
      <c r="AB126" s="58"/>
      <c r="AC126" s="58"/>
      <c r="AD126" s="58"/>
      <c r="AE126" s="58"/>
      <c r="AF126" s="58"/>
      <c r="AG126" s="58"/>
      <c r="AH126" s="58"/>
      <c r="AI126" s="58"/>
      <c r="AJ126" s="58"/>
    </row>
    <row r="127" spans="1:36" s="12" customFormat="1" ht="22.35" hidden="1" customHeight="1" x14ac:dyDescent="0.3">
      <c r="A127" s="53"/>
      <c r="B127" s="56"/>
      <c r="C127" s="55"/>
      <c r="D127" s="56"/>
      <c r="E127" s="57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</row>
    <row r="128" spans="1:36" s="60" customFormat="1" ht="36" customHeight="1" x14ac:dyDescent="0.3">
      <c r="B128" s="61" t="s">
        <v>181</v>
      </c>
      <c r="C128" s="62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T128" s="63"/>
      <c r="W128" s="64"/>
      <c r="Y128" s="64"/>
      <c r="Z128" s="64"/>
      <c r="AA128" s="64"/>
      <c r="AJ128" s="65"/>
    </row>
    <row r="129" spans="2:36" s="60" customFormat="1" ht="38.25" customHeight="1" x14ac:dyDescent="0.3">
      <c r="B129" s="77" t="s">
        <v>182</v>
      </c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77"/>
      <c r="N129" s="77"/>
      <c r="O129" s="77"/>
      <c r="P129" s="77"/>
      <c r="Q129" s="77"/>
      <c r="R129" s="77"/>
      <c r="S129" s="77"/>
      <c r="T129" s="77"/>
      <c r="U129" s="77"/>
      <c r="V129" s="77"/>
      <c r="W129" s="77"/>
      <c r="X129" s="77"/>
      <c r="Y129" s="77"/>
      <c r="Z129" s="77"/>
      <c r="AA129" s="77"/>
      <c r="AB129" s="77"/>
      <c r="AC129" s="77"/>
      <c r="AD129" s="77"/>
      <c r="AE129" s="77"/>
      <c r="AF129" s="77"/>
      <c r="AG129" s="77"/>
      <c r="AH129" s="77"/>
      <c r="AI129" s="77"/>
      <c r="AJ129" s="77"/>
    </row>
    <row r="130" spans="2:36" x14ac:dyDescent="0.3">
      <c r="K130" s="26"/>
      <c r="T130" s="44"/>
      <c r="W130" s="27"/>
      <c r="X130" s="27"/>
      <c r="Y130" s="27"/>
      <c r="Z130" s="27"/>
      <c r="AA130" s="27"/>
      <c r="AI130" s="27"/>
      <c r="AJ130" s="26"/>
    </row>
    <row r="131" spans="2:36" x14ac:dyDescent="0.3">
      <c r="G131" s="26"/>
    </row>
  </sheetData>
  <autoFilter ref="A8:AJ129"/>
  <mergeCells count="41">
    <mergeCell ref="A6:A7"/>
    <mergeCell ref="B6:B7"/>
    <mergeCell ref="D6:D7"/>
    <mergeCell ref="E6:E7"/>
    <mergeCell ref="F6:F7"/>
    <mergeCell ref="J6:J7"/>
    <mergeCell ref="K6:K7"/>
    <mergeCell ref="V6:V7"/>
    <mergeCell ref="W6:W7"/>
    <mergeCell ref="X6:X7"/>
    <mergeCell ref="M6:M7"/>
    <mergeCell ref="N6:N7"/>
    <mergeCell ref="I1:I2"/>
    <mergeCell ref="N1:Q3"/>
    <mergeCell ref="V1:V2"/>
    <mergeCell ref="AC1:AJ1"/>
    <mergeCell ref="B4:AJ4"/>
    <mergeCell ref="B129:AJ129"/>
    <mergeCell ref="AE6:AE7"/>
    <mergeCell ref="AF6:AF7"/>
    <mergeCell ref="AG6:AG7"/>
    <mergeCell ref="AH6:AH7"/>
    <mergeCell ref="AI6:AI7"/>
    <mergeCell ref="AJ6:AJ7"/>
    <mergeCell ref="Y6:Y7"/>
    <mergeCell ref="Z6:Z7"/>
    <mergeCell ref="AA6:AA7"/>
    <mergeCell ref="AB6:AB7"/>
    <mergeCell ref="AC6:AC7"/>
    <mergeCell ref="L6:L7"/>
    <mergeCell ref="G6:G7"/>
    <mergeCell ref="H6:H7"/>
    <mergeCell ref="I6:I7"/>
    <mergeCell ref="AD6:AD7"/>
    <mergeCell ref="S6:S7"/>
    <mergeCell ref="T6:T7"/>
    <mergeCell ref="U6:U7"/>
    <mergeCell ref="O6:O7"/>
    <mergeCell ref="P6:P7"/>
    <mergeCell ref="Q6:Q7"/>
    <mergeCell ref="R6:R7"/>
  </mergeCells>
  <pageMargins left="0.70866141732283472" right="0.70866141732283472" top="0.74803149606299213" bottom="0.19" header="0.31496062992125984" footer="0.31496062992125984"/>
  <pageSetup paperSize="9" scale="8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план. ст-ть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Дедух Ирина Владимировна</cp:lastModifiedBy>
  <cp:lastPrinted>2023-12-15T00:49:15Z</cp:lastPrinted>
  <dcterms:created xsi:type="dcterms:W3CDTF">2023-12-14T06:12:17Z</dcterms:created>
  <dcterms:modified xsi:type="dcterms:W3CDTF">2023-12-19T01:07:50Z</dcterms:modified>
</cp:coreProperties>
</file>